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 activeTab="1"/>
  </bookViews>
  <sheets>
    <sheet name="Inbox_Data" sheetId="1" r:id="rId1"/>
    <sheet name="ВЕТ" sheetId="2" r:id="rId2"/>
    <sheet name="Шаблон" sheetId="3" state="hidden" r:id="rId3"/>
    <sheet name="СП" sheetId="4" r:id="rId4"/>
    <sheet name="ЭКС" sheetId="5" r:id="rId5"/>
    <sheet name="МСХП" sheetId="6" r:id="rId6"/>
    <sheet name="МА" sheetId="7" r:id="rId7"/>
    <sheet name="МСР" sheetId="8" r:id="rId8"/>
    <sheet name="ПК" sheetId="9" r:id="rId9"/>
    <sheet name="ВЕТЛАБ" sheetId="10" r:id="rId10"/>
  </sheets>
  <definedNames>
    <definedName name="Z_1E771DD3_AE5B_4AE7_AC87_5961F6E9353A_.wvu.FilterData" localSheetId="0" hidden="1">Inbox_Data!$B$1:$E$990</definedName>
  </definedNames>
  <calcPr calcId="144525"/>
  <customWorkbookViews>
    <customWorkbookView name="Фильтр 1" guid="{1E771DD3-AE5B-4AE7-AC87-5961F6E9353A}" maximized="1" windowWidth="0" windowHeight="0" activeSheetId="0"/>
  </customWorkbookViews>
</workbook>
</file>

<file path=xl/calcChain.xml><?xml version="1.0" encoding="utf-8"?>
<calcChain xmlns="http://schemas.openxmlformats.org/spreadsheetml/2006/main">
  <c r="E102" i="2" l="1"/>
  <c r="D123" i="10"/>
  <c r="D119" i="10"/>
  <c r="D115" i="10"/>
  <c r="D111" i="10"/>
  <c r="D107" i="10"/>
  <c r="D103" i="10"/>
  <c r="D99" i="10"/>
  <c r="D95" i="10"/>
  <c r="D91" i="10"/>
  <c r="D87" i="10"/>
  <c r="D83" i="10"/>
  <c r="D79" i="10"/>
  <c r="D75" i="10"/>
  <c r="D71" i="10"/>
  <c r="D67" i="10"/>
  <c r="D63" i="10"/>
  <c r="D59" i="10"/>
  <c r="D55" i="10"/>
  <c r="D51" i="10"/>
  <c r="D47" i="10"/>
  <c r="D43" i="10"/>
  <c r="D39" i="10"/>
  <c r="D35" i="10"/>
  <c r="D124" i="10"/>
  <c r="B121" i="10"/>
  <c r="E120" i="10"/>
  <c r="E116" i="10"/>
  <c r="E112" i="10"/>
  <c r="E108" i="10"/>
  <c r="E104" i="10"/>
  <c r="E100" i="10"/>
  <c r="E96" i="10"/>
  <c r="E92" i="10"/>
  <c r="E88" i="10"/>
  <c r="E84" i="10"/>
  <c r="E80" i="10"/>
  <c r="E76" i="10"/>
  <c r="E72" i="10"/>
  <c r="E68" i="10"/>
  <c r="E64" i="10"/>
  <c r="E60" i="10"/>
  <c r="E56" i="10"/>
  <c r="E52" i="10"/>
  <c r="E48" i="10"/>
  <c r="E44" i="10"/>
  <c r="E40" i="10"/>
  <c r="E36" i="10"/>
  <c r="E32" i="10"/>
  <c r="E28" i="10"/>
  <c r="E24" i="10"/>
  <c r="E20" i="10"/>
  <c r="E16" i="10"/>
  <c r="E12" i="10"/>
  <c r="E8" i="10"/>
  <c r="B170" i="9"/>
  <c r="B166" i="9"/>
  <c r="C123" i="10"/>
  <c r="B114" i="10"/>
  <c r="B106" i="10"/>
  <c r="B98" i="10"/>
  <c r="B90" i="10"/>
  <c r="B82" i="10"/>
  <c r="B74" i="10"/>
  <c r="B66" i="10"/>
  <c r="B58" i="10"/>
  <c r="B50" i="10"/>
  <c r="B42" i="10"/>
  <c r="B34" i="10"/>
  <c r="C118" i="10"/>
  <c r="C110" i="10"/>
  <c r="C102" i="10"/>
  <c r="C94" i="10"/>
  <c r="C86" i="10"/>
  <c r="C78" i="10"/>
  <c r="C70" i="10"/>
  <c r="C62" i="10"/>
  <c r="C54" i="10"/>
  <c r="C46" i="10"/>
  <c r="C38" i="10"/>
  <c r="B31" i="10"/>
  <c r="D25" i="10"/>
  <c r="C20" i="10"/>
  <c r="B15" i="10"/>
  <c r="D9" i="10"/>
  <c r="D169" i="9"/>
  <c r="C164" i="9"/>
  <c r="E159" i="9"/>
  <c r="E155" i="9"/>
  <c r="E151" i="9"/>
  <c r="E147" i="9"/>
  <c r="E143" i="9"/>
  <c r="E139" i="9"/>
  <c r="E135" i="9"/>
  <c r="E131" i="9"/>
  <c r="E127" i="9"/>
  <c r="E123" i="9"/>
  <c r="B157" i="2"/>
  <c r="D102" i="2"/>
  <c r="D122" i="10"/>
  <c r="D118" i="10"/>
  <c r="D114" i="10"/>
  <c r="D110" i="10"/>
  <c r="D106" i="10"/>
  <c r="D102" i="10"/>
  <c r="D98" i="10"/>
  <c r="D94" i="10"/>
  <c r="D90" i="10"/>
  <c r="D86" i="10"/>
  <c r="D82" i="10"/>
  <c r="D78" i="10"/>
  <c r="D74" i="10"/>
  <c r="D70" i="10"/>
  <c r="D66" i="10"/>
  <c r="D62" i="10"/>
  <c r="D58" i="10"/>
  <c r="D54" i="10"/>
  <c r="D50" i="10"/>
  <c r="D46" i="10"/>
  <c r="D42" i="10"/>
  <c r="D38" i="10"/>
  <c r="D34" i="10"/>
  <c r="E157" i="2"/>
  <c r="B102" i="2"/>
  <c r="D121" i="10"/>
  <c r="D117" i="10"/>
  <c r="D113" i="10"/>
  <c r="D109" i="10"/>
  <c r="D105" i="10"/>
  <c r="D101" i="10"/>
  <c r="D97" i="10"/>
  <c r="D93" i="10"/>
  <c r="D89" i="10"/>
  <c r="D85" i="10"/>
  <c r="D81" i="10"/>
  <c r="D77" i="10"/>
  <c r="D73" i="10"/>
  <c r="D69" i="10"/>
  <c r="D65" i="10"/>
  <c r="D61" i="10"/>
  <c r="D57" i="10"/>
  <c r="D53" i="10"/>
  <c r="D49" i="10"/>
  <c r="D45" i="10"/>
  <c r="D41" i="10"/>
  <c r="D37" i="10"/>
  <c r="D33" i="10"/>
  <c r="B123" i="10"/>
  <c r="E122" i="10"/>
  <c r="E118" i="10"/>
  <c r="E114" i="10"/>
  <c r="E110" i="10"/>
  <c r="E106" i="10"/>
  <c r="E102" i="10"/>
  <c r="E98" i="10"/>
  <c r="E94" i="10"/>
  <c r="E90" i="10"/>
  <c r="E86" i="10"/>
  <c r="E82" i="10"/>
  <c r="E78" i="10"/>
  <c r="E74" i="10"/>
  <c r="E70" i="10"/>
  <c r="E66" i="10"/>
  <c r="E62" i="10"/>
  <c r="E58" i="10"/>
  <c r="E54" i="10"/>
  <c r="E50" i="10"/>
  <c r="E46" i="10"/>
  <c r="E42" i="10"/>
  <c r="E38" i="10"/>
  <c r="E34" i="10"/>
  <c r="E30" i="10"/>
  <c r="E26" i="10"/>
  <c r="E22" i="10"/>
  <c r="E18" i="10"/>
  <c r="E14" i="10"/>
  <c r="E10" i="10"/>
  <c r="C2" i="10"/>
  <c r="B168" i="9"/>
  <c r="B164" i="9"/>
  <c r="B118" i="10"/>
  <c r="B110" i="10"/>
  <c r="B102" i="10"/>
  <c r="B94" i="10"/>
  <c r="B86" i="10"/>
  <c r="B78" i="10"/>
  <c r="B70" i="10"/>
  <c r="B62" i="10"/>
  <c r="B54" i="10"/>
  <c r="B46" i="10"/>
  <c r="B38" i="10"/>
  <c r="D30" i="10"/>
  <c r="C114" i="10"/>
  <c r="C106" i="10"/>
  <c r="C98" i="10"/>
  <c r="C90" i="10"/>
  <c r="C82" i="10"/>
  <c r="C74" i="10"/>
  <c r="C66" i="10"/>
  <c r="C58" i="10"/>
  <c r="C50" i="10"/>
  <c r="C42" i="10"/>
  <c r="C34" i="10"/>
  <c r="C28" i="10"/>
  <c r="B23" i="10"/>
  <c r="D17" i="10"/>
  <c r="C12" i="10"/>
  <c r="B7" i="10"/>
  <c r="E166" i="9"/>
  <c r="E161" i="9"/>
  <c r="E157" i="9"/>
  <c r="E153" i="9"/>
  <c r="E149" i="9"/>
  <c r="E145" i="9"/>
  <c r="E141" i="9"/>
  <c r="E137" i="9"/>
  <c r="E133" i="9"/>
  <c r="E129" i="9"/>
  <c r="E125" i="9"/>
  <c r="E121" i="9"/>
  <c r="E117" i="9"/>
  <c r="E113" i="9"/>
  <c r="E109" i="9"/>
  <c r="E105" i="9"/>
  <c r="E101" i="9"/>
  <c r="E97" i="9"/>
  <c r="E93" i="9"/>
  <c r="E89" i="9"/>
  <c r="E85" i="9"/>
  <c r="E81" i="9"/>
  <c r="E77" i="9"/>
  <c r="E73" i="9"/>
  <c r="E69" i="9"/>
  <c r="E65" i="9"/>
  <c r="E61" i="9"/>
  <c r="E57" i="9"/>
  <c r="E53" i="9"/>
  <c r="E49" i="9"/>
  <c r="E45" i="9"/>
  <c r="E41" i="9"/>
  <c r="E37" i="9"/>
  <c r="E33" i="9"/>
  <c r="E29" i="9"/>
  <c r="E25" i="9"/>
  <c r="E21" i="9"/>
  <c r="E17" i="9"/>
  <c r="E13" i="9"/>
  <c r="E9" i="9"/>
  <c r="B86" i="8"/>
  <c r="D157" i="2"/>
  <c r="E124" i="10"/>
  <c r="D120" i="10"/>
  <c r="D116" i="10"/>
  <c r="D112" i="10"/>
  <c r="D108" i="10"/>
  <c r="D104" i="10"/>
  <c r="D100" i="10"/>
  <c r="D96" i="10"/>
  <c r="D92" i="10"/>
  <c r="D88" i="10"/>
  <c r="D84" i="10"/>
  <c r="D80" i="10"/>
  <c r="D76" i="10"/>
  <c r="D72" i="10"/>
  <c r="D68" i="10"/>
  <c r="D64" i="10"/>
  <c r="D60" i="10"/>
  <c r="D56" i="10"/>
  <c r="D52" i="10"/>
  <c r="D48" i="10"/>
  <c r="D44" i="10"/>
  <c r="D40" i="10"/>
  <c r="D36" i="10"/>
  <c r="D32" i="10"/>
  <c r="B122" i="10"/>
  <c r="E121" i="10"/>
  <c r="E117" i="10"/>
  <c r="E113" i="10"/>
  <c r="E109" i="10"/>
  <c r="E105" i="10"/>
  <c r="E101" i="10"/>
  <c r="E97" i="10"/>
  <c r="E93" i="10"/>
  <c r="E89" i="10"/>
  <c r="E85" i="10"/>
  <c r="E81" i="10"/>
  <c r="E77" i="10"/>
  <c r="E73" i="10"/>
  <c r="E69" i="10"/>
  <c r="E65" i="10"/>
  <c r="E61" i="10"/>
  <c r="E57" i="10"/>
  <c r="E53" i="10"/>
  <c r="E49" i="10"/>
  <c r="E45" i="10"/>
  <c r="E41" i="10"/>
  <c r="E37" i="10"/>
  <c r="E33" i="10"/>
  <c r="E29" i="10"/>
  <c r="E25" i="10"/>
  <c r="E21" i="10"/>
  <c r="E17" i="10"/>
  <c r="E13" i="10"/>
  <c r="E9" i="10"/>
  <c r="B171" i="9"/>
  <c r="B167" i="9"/>
  <c r="B163" i="9"/>
  <c r="B116" i="10"/>
  <c r="B108" i="10"/>
  <c r="B100" i="10"/>
  <c r="B92" i="10"/>
  <c r="B84" i="10"/>
  <c r="B76" i="10"/>
  <c r="B68" i="10"/>
  <c r="B60" i="10"/>
  <c r="B52" i="10"/>
  <c r="B44" i="10"/>
  <c r="B36" i="10"/>
  <c r="C120" i="10"/>
  <c r="C112" i="10"/>
  <c r="C104" i="10"/>
  <c r="C96" i="10"/>
  <c r="C88" i="10"/>
  <c r="C80" i="10"/>
  <c r="C72" i="10"/>
  <c r="C64" i="10"/>
  <c r="C56" i="10"/>
  <c r="C48" i="10"/>
  <c r="C40" i="10"/>
  <c r="C32" i="10"/>
  <c r="B27" i="10"/>
  <c r="D21" i="10"/>
  <c r="C16" i="10"/>
  <c r="B11" i="10"/>
  <c r="E170" i="9"/>
  <c r="D165" i="9"/>
  <c r="E160" i="9"/>
  <c r="E156" i="9"/>
  <c r="E152" i="9"/>
  <c r="E148" i="9"/>
  <c r="E144" i="9"/>
  <c r="E140" i="9"/>
  <c r="E136" i="9"/>
  <c r="E132" i="9"/>
  <c r="E128" i="9"/>
  <c r="E124" i="9"/>
  <c r="E120" i="9"/>
  <c r="E116" i="9"/>
  <c r="E112" i="9"/>
  <c r="E108" i="9"/>
  <c r="E104" i="9"/>
  <c r="E100" i="9"/>
  <c r="E96" i="9"/>
  <c r="E92" i="9"/>
  <c r="E88" i="9"/>
  <c r="E84" i="9"/>
  <c r="E80" i="9"/>
  <c r="E76" i="9"/>
  <c r="E72" i="9"/>
  <c r="E68" i="9"/>
  <c r="E64" i="9"/>
  <c r="E60" i="9"/>
  <c r="E56" i="9"/>
  <c r="E52" i="9"/>
  <c r="E48" i="9"/>
  <c r="E44" i="9"/>
  <c r="E40" i="9"/>
  <c r="E119" i="10"/>
  <c r="E103" i="10"/>
  <c r="E87" i="10"/>
  <c r="E71" i="10"/>
  <c r="E55" i="10"/>
  <c r="E39" i="10"/>
  <c r="E23" i="10"/>
  <c r="E7" i="10"/>
  <c r="B112" i="10"/>
  <c r="B80" i="10"/>
  <c r="B48" i="10"/>
  <c r="C108" i="10"/>
  <c r="C76" i="10"/>
  <c r="C44" i="10"/>
  <c r="B19" i="10"/>
  <c r="E162" i="9"/>
  <c r="E146" i="9"/>
  <c r="E130" i="9"/>
  <c r="E118" i="9"/>
  <c r="E110" i="9"/>
  <c r="E102" i="9"/>
  <c r="E94" i="9"/>
  <c r="E86" i="9"/>
  <c r="E78" i="9"/>
  <c r="E70" i="9"/>
  <c r="E62" i="9"/>
  <c r="E54" i="9"/>
  <c r="E46" i="9"/>
  <c r="E38" i="9"/>
  <c r="E32" i="9"/>
  <c r="E27" i="9"/>
  <c r="E22" i="9"/>
  <c r="E16" i="9"/>
  <c r="E11" i="9"/>
  <c r="C2" i="9"/>
  <c r="B82" i="8"/>
  <c r="B78" i="8"/>
  <c r="B74" i="8"/>
  <c r="B70" i="8"/>
  <c r="B66" i="8"/>
  <c r="B62" i="8"/>
  <c r="C122" i="10"/>
  <c r="C105" i="10"/>
  <c r="C89" i="10"/>
  <c r="C73" i="10"/>
  <c r="C57" i="10"/>
  <c r="C41" i="10"/>
  <c r="D28" i="10"/>
  <c r="C21" i="10"/>
  <c r="C14" i="10"/>
  <c r="C7" i="10"/>
  <c r="C165" i="9"/>
  <c r="C159" i="9"/>
  <c r="B154" i="9"/>
  <c r="D148" i="9"/>
  <c r="C143" i="9"/>
  <c r="B138" i="9"/>
  <c r="D132" i="9"/>
  <c r="C127" i="9"/>
  <c r="B122" i="9"/>
  <c r="D116" i="9"/>
  <c r="C111" i="9"/>
  <c r="B106" i="9"/>
  <c r="D100" i="9"/>
  <c r="C95" i="9"/>
  <c r="B90" i="9"/>
  <c r="D84" i="9"/>
  <c r="C79" i="9"/>
  <c r="B74" i="9"/>
  <c r="D68" i="9"/>
  <c r="C63" i="9"/>
  <c r="B58" i="9"/>
  <c r="D52" i="9"/>
  <c r="B117" i="10"/>
  <c r="B101" i="10"/>
  <c r="C107" i="10"/>
  <c r="B111" i="10"/>
  <c r="B95" i="10"/>
  <c r="B79" i="10"/>
  <c r="B63" i="10"/>
  <c r="B47" i="10"/>
  <c r="C31" i="10"/>
  <c r="D23" i="10"/>
  <c r="D16" i="10"/>
  <c r="C9" i="10"/>
  <c r="D167" i="9"/>
  <c r="B161" i="9"/>
  <c r="D155" i="9"/>
  <c r="C150" i="9"/>
  <c r="B145" i="9"/>
  <c r="D139" i="9"/>
  <c r="C134" i="9"/>
  <c r="B129" i="9"/>
  <c r="D123" i="9"/>
  <c r="C118" i="9"/>
  <c r="B113" i="9"/>
  <c r="D107" i="9"/>
  <c r="C102" i="9"/>
  <c r="B97" i="9"/>
  <c r="D91" i="9"/>
  <c r="C86" i="9"/>
  <c r="B81" i="9"/>
  <c r="D75" i="9"/>
  <c r="C70" i="9"/>
  <c r="B65" i="9"/>
  <c r="D59" i="9"/>
  <c r="C54" i="9"/>
  <c r="B49" i="9"/>
  <c r="E115" i="10"/>
  <c r="E99" i="10"/>
  <c r="E83" i="10"/>
  <c r="E67" i="10"/>
  <c r="E51" i="10"/>
  <c r="E35" i="10"/>
  <c r="E19" i="10"/>
  <c r="B169" i="9"/>
  <c r="B104" i="10"/>
  <c r="B72" i="10"/>
  <c r="B40" i="10"/>
  <c r="C100" i="10"/>
  <c r="C68" i="10"/>
  <c r="C36" i="10"/>
  <c r="D13" i="10"/>
  <c r="E158" i="9"/>
  <c r="E142" i="9"/>
  <c r="E126" i="9"/>
  <c r="E115" i="9"/>
  <c r="E107" i="9"/>
  <c r="E99" i="9"/>
  <c r="E91" i="9"/>
  <c r="E83" i="9"/>
  <c r="E75" i="9"/>
  <c r="E67" i="9"/>
  <c r="E59" i="9"/>
  <c r="E51" i="9"/>
  <c r="E43" i="9"/>
  <c r="E36" i="9"/>
  <c r="E31" i="9"/>
  <c r="E26" i="9"/>
  <c r="E20" i="9"/>
  <c r="E15" i="9"/>
  <c r="E10" i="9"/>
  <c r="B85" i="8"/>
  <c r="B81" i="8"/>
  <c r="B77" i="8"/>
  <c r="B73" i="8"/>
  <c r="B69" i="8"/>
  <c r="B65" i="8"/>
  <c r="B61" i="8"/>
  <c r="C117" i="10"/>
  <c r="C101" i="10"/>
  <c r="C85" i="10"/>
  <c r="C69" i="10"/>
  <c r="C53" i="10"/>
  <c r="C37" i="10"/>
  <c r="D26" i="10"/>
  <c r="D19" i="10"/>
  <c r="D12" i="10"/>
  <c r="D170" i="9"/>
  <c r="D163" i="9"/>
  <c r="B158" i="9"/>
  <c r="D152" i="9"/>
  <c r="C147" i="9"/>
  <c r="B142" i="9"/>
  <c r="D136" i="9"/>
  <c r="C131" i="9"/>
  <c r="B126" i="9"/>
  <c r="D120" i="9"/>
  <c r="C115" i="9"/>
  <c r="B110" i="9"/>
  <c r="D104" i="9"/>
  <c r="C99" i="9"/>
  <c r="B94" i="9"/>
  <c r="D88" i="9"/>
  <c r="C83" i="9"/>
  <c r="B78" i="9"/>
  <c r="D72" i="9"/>
  <c r="C67" i="9"/>
  <c r="B62" i="9"/>
  <c r="D56" i="9"/>
  <c r="C51" i="9"/>
  <c r="B113" i="10"/>
  <c r="C119" i="10"/>
  <c r="C103" i="10"/>
  <c r="B107" i="10"/>
  <c r="B91" i="10"/>
  <c r="B75" i="10"/>
  <c r="B59" i="10"/>
  <c r="B43" i="10"/>
  <c r="B29" i="10"/>
  <c r="B22" i="10"/>
  <c r="D14" i="10"/>
  <c r="D7" i="10"/>
  <c r="E165" i="9"/>
  <c r="D159" i="9"/>
  <c r="C154" i="9"/>
  <c r="B149" i="9"/>
  <c r="D143" i="9"/>
  <c r="C138" i="9"/>
  <c r="B133" i="9"/>
  <c r="D127" i="9"/>
  <c r="C122" i="9"/>
  <c r="B117" i="9"/>
  <c r="D111" i="9"/>
  <c r="C106" i="9"/>
  <c r="B101" i="9"/>
  <c r="D95" i="9"/>
  <c r="C90" i="9"/>
  <c r="B85" i="9"/>
  <c r="D79" i="9"/>
  <c r="C74" i="9"/>
  <c r="B69" i="9"/>
  <c r="D63" i="9"/>
  <c r="C58" i="9"/>
  <c r="B53" i="9"/>
  <c r="D47" i="9"/>
  <c r="C42" i="9"/>
  <c r="B37" i="9"/>
  <c r="D31" i="9"/>
  <c r="C26" i="9"/>
  <c r="B21" i="9"/>
  <c r="D15" i="9"/>
  <c r="C10" i="9"/>
  <c r="C85" i="8"/>
  <c r="E79" i="8"/>
  <c r="D74" i="8"/>
  <c r="C69" i="8"/>
  <c r="E63" i="8"/>
  <c r="D58" i="8"/>
  <c r="D54" i="8"/>
  <c r="D50" i="8"/>
  <c r="D46" i="8"/>
  <c r="D42" i="8"/>
  <c r="D38" i="8"/>
  <c r="D34" i="8"/>
  <c r="B124" i="10"/>
  <c r="E95" i="10"/>
  <c r="E63" i="10"/>
  <c r="E31" i="10"/>
  <c r="B165" i="9"/>
  <c r="B64" i="10"/>
  <c r="C92" i="10"/>
  <c r="D29" i="10"/>
  <c r="E154" i="9"/>
  <c r="E122" i="9"/>
  <c r="E106" i="9"/>
  <c r="E90" i="9"/>
  <c r="E74" i="9"/>
  <c r="E58" i="9"/>
  <c r="E42" i="9"/>
  <c r="E30" i="9"/>
  <c r="E19" i="9"/>
  <c r="E8" i="9"/>
  <c r="B80" i="8"/>
  <c r="B72" i="8"/>
  <c r="B64" i="8"/>
  <c r="C113" i="10"/>
  <c r="C81" i="10"/>
  <c r="C49" i="10"/>
  <c r="B25" i="10"/>
  <c r="D10" i="10"/>
  <c r="B162" i="9"/>
  <c r="C151" i="9"/>
  <c r="D140" i="9"/>
  <c r="B130" i="9"/>
  <c r="C119" i="9"/>
  <c r="D108" i="9"/>
  <c r="B98" i="9"/>
  <c r="C87" i="9"/>
  <c r="D76" i="9"/>
  <c r="B66" i="9"/>
  <c r="C55" i="9"/>
  <c r="B109" i="10"/>
  <c r="B119" i="10"/>
  <c r="B87" i="10"/>
  <c r="B55" i="10"/>
  <c r="C27" i="10"/>
  <c r="B13" i="10"/>
  <c r="E163" i="9"/>
  <c r="B153" i="9"/>
  <c r="C142" i="9"/>
  <c r="D131" i="9"/>
  <c r="B121" i="9"/>
  <c r="C110" i="9"/>
  <c r="D99" i="9"/>
  <c r="B89" i="9"/>
  <c r="C78" i="9"/>
  <c r="D67" i="9"/>
  <c r="B57" i="9"/>
  <c r="C46" i="9"/>
  <c r="D39" i="9"/>
  <c r="B33" i="9"/>
  <c r="B25" i="9"/>
  <c r="C18" i="9"/>
  <c r="D11" i="9"/>
  <c r="E83" i="8"/>
  <c r="C77" i="8"/>
  <c r="D70" i="8"/>
  <c r="D62" i="8"/>
  <c r="D56" i="8"/>
  <c r="D51" i="8"/>
  <c r="D45" i="8"/>
  <c r="D40" i="8"/>
  <c r="D35" i="8"/>
  <c r="D30" i="8"/>
  <c r="D26" i="8"/>
  <c r="D22" i="8"/>
  <c r="D18" i="8"/>
  <c r="D14" i="8"/>
  <c r="D10" i="8"/>
  <c r="E190" i="7"/>
  <c r="E186" i="7"/>
  <c r="E182" i="7"/>
  <c r="E178" i="7"/>
  <c r="E174" i="7"/>
  <c r="E170" i="7"/>
  <c r="E166" i="7"/>
  <c r="E162" i="7"/>
  <c r="E158" i="7"/>
  <c r="E154" i="7"/>
  <c r="E150" i="7"/>
  <c r="E146" i="7"/>
  <c r="E142" i="7"/>
  <c r="E138" i="7"/>
  <c r="E134" i="7"/>
  <c r="E130" i="7"/>
  <c r="E126" i="7"/>
  <c r="E122" i="7"/>
  <c r="E118" i="7"/>
  <c r="E114" i="7"/>
  <c r="E110" i="7"/>
  <c r="E106" i="7"/>
  <c r="E102" i="7"/>
  <c r="E98" i="7"/>
  <c r="E94" i="7"/>
  <c r="E90" i="7"/>
  <c r="C83" i="10"/>
  <c r="C51" i="10"/>
  <c r="B26" i="10"/>
  <c r="D11" i="10"/>
  <c r="D162" i="9"/>
  <c r="B152" i="9"/>
  <c r="C141" i="9"/>
  <c r="D130" i="9"/>
  <c r="B120" i="9"/>
  <c r="C109" i="9"/>
  <c r="D98" i="9"/>
  <c r="B88" i="9"/>
  <c r="C77" i="9"/>
  <c r="D66" i="9"/>
  <c r="B56" i="9"/>
  <c r="D46" i="9"/>
  <c r="C39" i="9"/>
  <c r="C32" i="9"/>
  <c r="C25" i="9"/>
  <c r="B18" i="9"/>
  <c r="B11" i="9"/>
  <c r="C84" i="8"/>
  <c r="E76" i="8"/>
  <c r="E69" i="8"/>
  <c r="E62" i="8"/>
  <c r="C56" i="8"/>
  <c r="E123" i="10"/>
  <c r="E91" i="10"/>
  <c r="E59" i="10"/>
  <c r="E27" i="10"/>
  <c r="B120" i="10"/>
  <c r="B56" i="10"/>
  <c r="C84" i="10"/>
  <c r="C24" i="10"/>
  <c r="E150" i="9"/>
  <c r="E119" i="9"/>
  <c r="E103" i="9"/>
  <c r="E87" i="9"/>
  <c r="E71" i="9"/>
  <c r="E55" i="9"/>
  <c r="E39" i="9"/>
  <c r="E28" i="9"/>
  <c r="E18" i="9"/>
  <c r="E7" i="9"/>
  <c r="B79" i="8"/>
  <c r="B71" i="8"/>
  <c r="B63" i="8"/>
  <c r="C109" i="10"/>
  <c r="C77" i="10"/>
  <c r="C45" i="10"/>
  <c r="C23" i="10"/>
  <c r="B9" i="10"/>
  <c r="D160" i="9"/>
  <c r="B150" i="9"/>
  <c r="C139" i="9"/>
  <c r="D128" i="9"/>
  <c r="B118" i="9"/>
  <c r="C107" i="9"/>
  <c r="D96" i="9"/>
  <c r="B86" i="9"/>
  <c r="C75" i="9"/>
  <c r="D64" i="9"/>
  <c r="B54" i="9"/>
  <c r="B105" i="10"/>
  <c r="B115" i="10"/>
  <c r="B83" i="10"/>
  <c r="B51" i="10"/>
  <c r="C25" i="10"/>
  <c r="C11" i="10"/>
  <c r="C162" i="9"/>
  <c r="D151" i="9"/>
  <c r="B141" i="9"/>
  <c r="C130" i="9"/>
  <c r="D119" i="9"/>
  <c r="B109" i="9"/>
  <c r="C98" i="9"/>
  <c r="D87" i="9"/>
  <c r="B77" i="9"/>
  <c r="C66" i="9"/>
  <c r="D55" i="9"/>
  <c r="B45" i="9"/>
  <c r="C38" i="9"/>
  <c r="C30" i="9"/>
  <c r="D23" i="9"/>
  <c r="B17" i="9"/>
  <c r="B9" i="9"/>
  <c r="D82" i="8"/>
  <c r="E75" i="8"/>
  <c r="E67" i="8"/>
  <c r="C61" i="8"/>
  <c r="D55" i="8"/>
  <c r="D49" i="8"/>
  <c r="D44" i="8"/>
  <c r="D39" i="8"/>
  <c r="D33" i="8"/>
  <c r="E111" i="10"/>
  <c r="E79" i="10"/>
  <c r="E47" i="10"/>
  <c r="E15" i="10"/>
  <c r="B96" i="10"/>
  <c r="B32" i="10"/>
  <c r="C60" i="10"/>
  <c r="C8" i="10"/>
  <c r="E138" i="9"/>
  <c r="E114" i="9"/>
  <c r="E98" i="9"/>
  <c r="E82" i="9"/>
  <c r="E66" i="9"/>
  <c r="E50" i="9"/>
  <c r="E35" i="9"/>
  <c r="E24" i="9"/>
  <c r="E14" i="9"/>
  <c r="B84" i="8"/>
  <c r="B76" i="8"/>
  <c r="B68" i="8"/>
  <c r="B60" i="8"/>
  <c r="C97" i="10"/>
  <c r="C65" i="10"/>
  <c r="C33" i="10"/>
  <c r="B18" i="10"/>
  <c r="E168" i="9"/>
  <c r="D156" i="9"/>
  <c r="B146" i="9"/>
  <c r="C135" i="9"/>
  <c r="D124" i="9"/>
  <c r="B114" i="9"/>
  <c r="C103" i="9"/>
  <c r="D92" i="9"/>
  <c r="B82" i="9"/>
  <c r="C71" i="9"/>
  <c r="D60" i="9"/>
  <c r="B50" i="9"/>
  <c r="C115" i="10"/>
  <c r="B103" i="10"/>
  <c r="B71" i="10"/>
  <c r="B39" i="10"/>
  <c r="B20" i="10"/>
  <c r="C171" i="9"/>
  <c r="C158" i="9"/>
  <c r="D147" i="9"/>
  <c r="B137" i="9"/>
  <c r="C126" i="9"/>
  <c r="D115" i="9"/>
  <c r="B105" i="9"/>
  <c r="C94" i="9"/>
  <c r="D83" i="9"/>
  <c r="B73" i="9"/>
  <c r="C62" i="9"/>
  <c r="D51" i="9"/>
  <c r="D43" i="9"/>
  <c r="D35" i="9"/>
  <c r="B29" i="9"/>
  <c r="C22" i="9"/>
  <c r="C14" i="9"/>
  <c r="D7" i="9"/>
  <c r="C81" i="8"/>
  <c r="C73" i="8"/>
  <c r="D66" i="8"/>
  <c r="E59" i="8"/>
  <c r="D53" i="8"/>
  <c r="D48" i="8"/>
  <c r="D43" i="8"/>
  <c r="D37" i="8"/>
  <c r="D32" i="8"/>
  <c r="D28" i="8"/>
  <c r="D24" i="8"/>
  <c r="D20" i="8"/>
  <c r="D16" i="8"/>
  <c r="D12" i="8"/>
  <c r="D8" i="8"/>
  <c r="E188" i="7"/>
  <c r="E184" i="7"/>
  <c r="E180" i="7"/>
  <c r="E176" i="7"/>
  <c r="E172" i="7"/>
  <c r="E168" i="7"/>
  <c r="E164" i="7"/>
  <c r="E160" i="7"/>
  <c r="E156" i="7"/>
  <c r="E152" i="7"/>
  <c r="E148" i="7"/>
  <c r="E144" i="7"/>
  <c r="E140" i="7"/>
  <c r="E136" i="7"/>
  <c r="E132" i="7"/>
  <c r="E128" i="7"/>
  <c r="E124" i="7"/>
  <c r="E120" i="7"/>
  <c r="E116" i="7"/>
  <c r="E112" i="7"/>
  <c r="E108" i="7"/>
  <c r="E104" i="7"/>
  <c r="E100" i="7"/>
  <c r="E96" i="7"/>
  <c r="E92" i="7"/>
  <c r="C99" i="10"/>
  <c r="C67" i="10"/>
  <c r="C35" i="10"/>
  <c r="D18" i="10"/>
  <c r="E169" i="9"/>
  <c r="C157" i="9"/>
  <c r="D146" i="9"/>
  <c r="B136" i="9"/>
  <c r="C125" i="9"/>
  <c r="D114" i="9"/>
  <c r="B104" i="9"/>
  <c r="C93" i="9"/>
  <c r="D82" i="9"/>
  <c r="B72" i="9"/>
  <c r="C61" i="9"/>
  <c r="D50" i="9"/>
  <c r="B43" i="9"/>
  <c r="B36" i="9"/>
  <c r="D28" i="9"/>
  <c r="D21" i="9"/>
  <c r="D14" i="9"/>
  <c r="C7" i="9"/>
  <c r="D80" i="8"/>
  <c r="D73" i="8"/>
  <c r="C66" i="8"/>
  <c r="C59" i="8"/>
  <c r="E53" i="8"/>
  <c r="C48" i="8"/>
  <c r="B43" i="8"/>
  <c r="E37" i="8"/>
  <c r="C32" i="8"/>
  <c r="B27" i="8"/>
  <c r="B73" i="10"/>
  <c r="B41" i="10"/>
  <c r="B21" i="10"/>
  <c r="E171" i="9"/>
  <c r="B159" i="9"/>
  <c r="C148" i="9"/>
  <c r="D137" i="9"/>
  <c r="B127" i="9"/>
  <c r="C116" i="9"/>
  <c r="D105" i="9"/>
  <c r="B95" i="9"/>
  <c r="C84" i="9"/>
  <c r="D73" i="9"/>
  <c r="B63" i="9"/>
  <c r="C52" i="9"/>
  <c r="C44" i="9"/>
  <c r="C37" i="9"/>
  <c r="B30" i="9"/>
  <c r="B23" i="9"/>
  <c r="B16" i="9"/>
  <c r="D8" i="9"/>
  <c r="E81" i="8"/>
  <c r="E74" i="8"/>
  <c r="D67" i="8"/>
  <c r="D60" i="8"/>
  <c r="E54" i="8"/>
  <c r="C49" i="8"/>
  <c r="B44" i="8"/>
  <c r="E38" i="8"/>
  <c r="C33" i="8"/>
  <c r="B28" i="8"/>
  <c r="C95" i="10"/>
  <c r="C63" i="10"/>
  <c r="D31" i="10"/>
  <c r="B17" i="10"/>
  <c r="E167" i="9"/>
  <c r="B156" i="9"/>
  <c r="C145" i="9"/>
  <c r="D134" i="9"/>
  <c r="B124" i="9"/>
  <c r="C113" i="9"/>
  <c r="D102" i="9"/>
  <c r="B92" i="9"/>
  <c r="C81" i="9"/>
  <c r="D70" i="9"/>
  <c r="B60" i="9"/>
  <c r="C49" i="9"/>
  <c r="B42" i="9"/>
  <c r="B35" i="9"/>
  <c r="B28" i="9"/>
  <c r="D20" i="9"/>
  <c r="D13" i="9"/>
  <c r="E86" i="8"/>
  <c r="D79" i="8"/>
  <c r="D72" i="8"/>
  <c r="D65" i="8"/>
  <c r="C58" i="8"/>
  <c r="B53" i="8"/>
  <c r="B77" i="10"/>
  <c r="B45" i="10"/>
  <c r="D22" i="10"/>
  <c r="D8" i="10"/>
  <c r="C160" i="9"/>
  <c r="D149" i="9"/>
  <c r="B139" i="9"/>
  <c r="C128" i="9"/>
  <c r="D117" i="9"/>
  <c r="B107" i="9"/>
  <c r="C96" i="9"/>
  <c r="D85" i="9"/>
  <c r="B75" i="9"/>
  <c r="C64" i="9"/>
  <c r="D53" i="9"/>
  <c r="C45" i="9"/>
  <c r="B38" i="9"/>
  <c r="B31" i="9"/>
  <c r="B24" i="9"/>
  <c r="D16" i="9"/>
  <c r="D9" i="9"/>
  <c r="E82" i="8"/>
  <c r="D75" i="8"/>
  <c r="D68" i="8"/>
  <c r="D61" i="8"/>
  <c r="C55" i="8"/>
  <c r="B50" i="8"/>
  <c r="E44" i="8"/>
  <c r="C39" i="8"/>
  <c r="B34" i="8"/>
  <c r="E28" i="8"/>
  <c r="C23" i="8"/>
  <c r="B18" i="8"/>
  <c r="E12" i="8"/>
  <c r="C7" i="8"/>
  <c r="C186" i="7"/>
  <c r="B181" i="7"/>
  <c r="D175" i="7"/>
  <c r="C170" i="7"/>
  <c r="B165" i="7"/>
  <c r="D159" i="7"/>
  <c r="C154" i="7"/>
  <c r="B149" i="7"/>
  <c r="D143" i="7"/>
  <c r="C138" i="7"/>
  <c r="B133" i="7"/>
  <c r="D127" i="7"/>
  <c r="C122" i="7"/>
  <c r="B117" i="7"/>
  <c r="D111" i="7"/>
  <c r="C106" i="7"/>
  <c r="B101" i="7"/>
  <c r="D95" i="7"/>
  <c r="C90" i="7"/>
  <c r="B86" i="7"/>
  <c r="B82" i="7"/>
  <c r="B78" i="7"/>
  <c r="B74" i="7"/>
  <c r="B70" i="7"/>
  <c r="B66" i="7"/>
  <c r="B62" i="7"/>
  <c r="E107" i="10"/>
  <c r="E75" i="10"/>
  <c r="E43" i="10"/>
  <c r="E11" i="10"/>
  <c r="B88" i="10"/>
  <c r="C116" i="10"/>
  <c r="C52" i="10"/>
  <c r="C168" i="9"/>
  <c r="E134" i="9"/>
  <c r="E111" i="9"/>
  <c r="E95" i="9"/>
  <c r="E79" i="9"/>
  <c r="E63" i="9"/>
  <c r="E47" i="9"/>
  <c r="E34" i="9"/>
  <c r="E23" i="9"/>
  <c r="E12" i="9"/>
  <c r="B83" i="8"/>
  <c r="B75" i="8"/>
  <c r="B67" i="8"/>
  <c r="B59" i="8"/>
  <c r="C93" i="10"/>
  <c r="C61" i="10"/>
  <c r="C30" i="10"/>
  <c r="B16" i="10"/>
  <c r="C167" i="9"/>
  <c r="C155" i="9"/>
  <c r="D144" i="9"/>
  <c r="B134" i="9"/>
  <c r="C123" i="9"/>
  <c r="D112" i="9"/>
  <c r="B102" i="9"/>
  <c r="C91" i="9"/>
  <c r="D80" i="9"/>
  <c r="B70" i="9"/>
  <c r="C59" i="9"/>
  <c r="C121" i="10"/>
  <c r="C111" i="10"/>
  <c r="B99" i="10"/>
  <c r="B67" i="10"/>
  <c r="B35" i="10"/>
  <c r="C18" i="10"/>
  <c r="C169" i="9"/>
  <c r="B157" i="9"/>
  <c r="C146" i="9"/>
  <c r="D135" i="9"/>
  <c r="B125" i="9"/>
  <c r="C114" i="9"/>
  <c r="D103" i="9"/>
  <c r="B93" i="9"/>
  <c r="C82" i="9"/>
  <c r="D71" i="9"/>
  <c r="B61" i="9"/>
  <c r="C50" i="9"/>
  <c r="B41" i="9"/>
  <c r="C34" i="9"/>
  <c r="D27" i="9"/>
  <c r="D19" i="9"/>
  <c r="B13" i="9"/>
  <c r="D86" i="8"/>
  <c r="D78" i="8"/>
  <c r="E71" i="8"/>
  <c r="C65" i="8"/>
  <c r="D57" i="8"/>
  <c r="D52" i="8"/>
  <c r="D47" i="8"/>
  <c r="D41" i="8"/>
  <c r="D36" i="8"/>
  <c r="D31" i="8"/>
  <c r="D27" i="8"/>
  <c r="D23" i="8"/>
  <c r="D19" i="8"/>
  <c r="D15" i="8"/>
  <c r="D11" i="8"/>
  <c r="D7" i="8"/>
  <c r="E187" i="7"/>
  <c r="E183" i="7"/>
  <c r="E179" i="7"/>
  <c r="E175" i="7"/>
  <c r="E171" i="7"/>
  <c r="E167" i="7"/>
  <c r="E163" i="7"/>
  <c r="E159" i="7"/>
  <c r="E155" i="7"/>
  <c r="E151" i="7"/>
  <c r="E147" i="7"/>
  <c r="E143" i="7"/>
  <c r="E139" i="7"/>
  <c r="E135" i="7"/>
  <c r="E131" i="7"/>
  <c r="E127" i="7"/>
  <c r="E123" i="7"/>
  <c r="E119" i="7"/>
  <c r="E115" i="7"/>
  <c r="E111" i="7"/>
  <c r="E107" i="7"/>
  <c r="E103" i="7"/>
  <c r="E99" i="7"/>
  <c r="E95" i="7"/>
  <c r="E91" i="7"/>
  <c r="C91" i="10"/>
  <c r="C59" i="10"/>
  <c r="C29" i="10"/>
  <c r="C15" i="10"/>
  <c r="C166" i="9"/>
  <c r="D154" i="9"/>
  <c r="B144" i="9"/>
  <c r="C133" i="9"/>
  <c r="D122" i="9"/>
  <c r="B112" i="9"/>
  <c r="C101" i="9"/>
  <c r="D90" i="9"/>
  <c r="B80" i="9"/>
  <c r="C69" i="9"/>
  <c r="D58" i="9"/>
  <c r="C48" i="9"/>
  <c r="C41" i="9"/>
  <c r="B34" i="9"/>
  <c r="B27" i="9"/>
  <c r="B20" i="9"/>
  <c r="D12" i="9"/>
  <c r="E85" i="8"/>
  <c r="E78" i="8"/>
  <c r="D71" i="8"/>
  <c r="D64" i="8"/>
  <c r="E57" i="8"/>
  <c r="C52" i="8"/>
  <c r="B47" i="8"/>
  <c r="E41" i="8"/>
  <c r="C36" i="8"/>
  <c r="B31" i="8"/>
  <c r="B97" i="10"/>
  <c r="B65" i="10"/>
  <c r="B33" i="10"/>
  <c r="C17" i="10"/>
  <c r="D168" i="9"/>
  <c r="C156" i="9"/>
  <c r="D145" i="9"/>
  <c r="B135" i="9"/>
  <c r="C124" i="9"/>
  <c r="D113" i="9"/>
  <c r="B103" i="9"/>
  <c r="C92" i="9"/>
  <c r="D81" i="9"/>
  <c r="B71" i="9"/>
  <c r="C60" i="9"/>
  <c r="D49" i="9"/>
  <c r="D42" i="9"/>
  <c r="C35" i="9"/>
  <c r="C28" i="9"/>
  <c r="C21" i="9"/>
  <c r="B14" i="9"/>
  <c r="B7" i="9"/>
  <c r="C80" i="8"/>
  <c r="E72" i="8"/>
  <c r="E65" i="8"/>
  <c r="E58" i="8"/>
  <c r="C53" i="8"/>
  <c r="B48" i="8"/>
  <c r="E42" i="8"/>
  <c r="C37" i="8"/>
  <c r="B32" i="8"/>
  <c r="E26" i="8"/>
  <c r="C87" i="10"/>
  <c r="C55" i="10"/>
  <c r="D27" i="10"/>
  <c r="C13" i="10"/>
  <c r="D164" i="9"/>
  <c r="C153" i="9"/>
  <c r="D142" i="9"/>
  <c r="B132" i="9"/>
  <c r="C121" i="9"/>
  <c r="D110" i="9"/>
  <c r="B100" i="9"/>
  <c r="C89" i="9"/>
  <c r="D78" i="9"/>
  <c r="B68" i="9"/>
  <c r="C57" i="9"/>
  <c r="C47" i="9"/>
  <c r="C40" i="9"/>
  <c r="C33" i="9"/>
  <c r="B26" i="9"/>
  <c r="B19" i="9"/>
  <c r="B12" i="9"/>
  <c r="E84" i="8"/>
  <c r="E77" i="8"/>
  <c r="E70" i="8"/>
  <c r="D63" i="8"/>
  <c r="B57" i="8"/>
  <c r="E51" i="8"/>
  <c r="B69" i="10"/>
  <c r="B37" i="10"/>
  <c r="C19" i="10"/>
  <c r="C170" i="9"/>
  <c r="D157" i="9"/>
  <c r="B147" i="9"/>
  <c r="C136" i="9"/>
  <c r="D125" i="9"/>
  <c r="B115" i="9"/>
  <c r="C104" i="9"/>
  <c r="D93" i="9"/>
  <c r="B83" i="9"/>
  <c r="C72" i="9"/>
  <c r="D61" i="9"/>
  <c r="B51" i="9"/>
  <c r="C43" i="9"/>
  <c r="C36" i="9"/>
  <c r="C29" i="9"/>
  <c r="B22" i="9"/>
  <c r="B15" i="9"/>
  <c r="B8" i="9"/>
  <c r="E80" i="8"/>
  <c r="E73" i="8"/>
  <c r="E66" i="8"/>
  <c r="D59" i="8"/>
  <c r="B54" i="8"/>
  <c r="E48" i="8"/>
  <c r="C43" i="8"/>
  <c r="B38" i="8"/>
  <c r="E32" i="8"/>
  <c r="C27" i="8"/>
  <c r="B22" i="8"/>
  <c r="E16" i="8"/>
  <c r="C11" i="8"/>
  <c r="C190" i="7"/>
  <c r="B185" i="7"/>
  <c r="D179" i="7"/>
  <c r="C174" i="7"/>
  <c r="B169" i="7"/>
  <c r="D163" i="7"/>
  <c r="C158" i="7"/>
  <c r="B153" i="7"/>
  <c r="D147" i="7"/>
  <c r="C142" i="7"/>
  <c r="B137" i="7"/>
  <c r="D131" i="7"/>
  <c r="C126" i="7"/>
  <c r="B121" i="7"/>
  <c r="D115" i="7"/>
  <c r="C110" i="7"/>
  <c r="B105" i="7"/>
  <c r="D99" i="7"/>
  <c r="C94" i="7"/>
  <c r="B89" i="7"/>
  <c r="B85" i="7"/>
  <c r="B81" i="7"/>
  <c r="B77" i="7"/>
  <c r="B73" i="7"/>
  <c r="B69" i="7"/>
  <c r="B65" i="7"/>
  <c r="B61" i="7"/>
  <c r="D29" i="8"/>
  <c r="D13" i="8"/>
  <c r="E181" i="7"/>
  <c r="E165" i="7"/>
  <c r="E149" i="7"/>
  <c r="E133" i="7"/>
  <c r="E117" i="7"/>
  <c r="E101" i="7"/>
  <c r="C75" i="10"/>
  <c r="B160" i="9"/>
  <c r="C117" i="9"/>
  <c r="D74" i="9"/>
  <c r="D37" i="9"/>
  <c r="C9" i="9"/>
  <c r="E60" i="8"/>
  <c r="E45" i="8"/>
  <c r="B35" i="8"/>
  <c r="B89" i="10"/>
  <c r="B28" i="10"/>
  <c r="E164" i="9"/>
  <c r="B143" i="9"/>
  <c r="D121" i="9"/>
  <c r="C100" i="9"/>
  <c r="B79" i="9"/>
  <c r="D57" i="9"/>
  <c r="D40" i="9"/>
  <c r="D26" i="9"/>
  <c r="C12" i="9"/>
  <c r="C78" i="8"/>
  <c r="C64" i="8"/>
  <c r="B52" i="8"/>
  <c r="C41" i="8"/>
  <c r="E30" i="8"/>
  <c r="C79" i="10"/>
  <c r="B24" i="10"/>
  <c r="C161" i="9"/>
  <c r="B140" i="9"/>
  <c r="D118" i="9"/>
  <c r="C97" i="9"/>
  <c r="D25" i="8"/>
  <c r="D9" i="8"/>
  <c r="E177" i="7"/>
  <c r="E161" i="7"/>
  <c r="E145" i="7"/>
  <c r="E129" i="7"/>
  <c r="E113" i="7"/>
  <c r="E97" i="7"/>
  <c r="C43" i="10"/>
  <c r="C149" i="9"/>
  <c r="D106" i="9"/>
  <c r="B64" i="9"/>
  <c r="D30" i="9"/>
  <c r="C82" i="8"/>
  <c r="B55" i="8"/>
  <c r="C44" i="8"/>
  <c r="E33" i="8"/>
  <c r="B81" i="10"/>
  <c r="D24" i="10"/>
  <c r="D161" i="9"/>
  <c r="C140" i="9"/>
  <c r="B119" i="9"/>
  <c r="D97" i="9"/>
  <c r="C76" i="9"/>
  <c r="B55" i="9"/>
  <c r="B39" i="9"/>
  <c r="D24" i="9"/>
  <c r="D10" i="9"/>
  <c r="D76" i="8"/>
  <c r="C62" i="8"/>
  <c r="E50" i="8"/>
  <c r="B40" i="8"/>
  <c r="C29" i="8"/>
  <c r="C71" i="10"/>
  <c r="D20" i="10"/>
  <c r="D158" i="9"/>
  <c r="C137" i="9"/>
  <c r="B116" i="9"/>
  <c r="D94" i="9"/>
  <c r="C73" i="9"/>
  <c r="B52" i="9"/>
  <c r="D36" i="9"/>
  <c r="D22" i="9"/>
  <c r="C8" i="9"/>
  <c r="C74" i="8"/>
  <c r="C60" i="8"/>
  <c r="B85" i="10"/>
  <c r="C26" i="10"/>
  <c r="C163" i="9"/>
  <c r="D141" i="9"/>
  <c r="C120" i="9"/>
  <c r="B99" i="9"/>
  <c r="D77" i="9"/>
  <c r="C56" i="9"/>
  <c r="B40" i="9"/>
  <c r="D25" i="9"/>
  <c r="C11" i="9"/>
  <c r="D77" i="8"/>
  <c r="C63" i="8"/>
  <c r="C51" i="8"/>
  <c r="E40" i="8"/>
  <c r="B30" i="8"/>
  <c r="C19" i="8"/>
  <c r="E8" i="8"/>
  <c r="C182" i="7"/>
  <c r="D171" i="7"/>
  <c r="B161" i="7"/>
  <c r="C150" i="7"/>
  <c r="D139" i="7"/>
  <c r="B129" i="7"/>
  <c r="C118" i="7"/>
  <c r="D107" i="7"/>
  <c r="B97" i="7"/>
  <c r="B87" i="7"/>
  <c r="B79" i="7"/>
  <c r="B71" i="7"/>
  <c r="B63" i="7"/>
  <c r="B57" i="7"/>
  <c r="B53" i="7"/>
  <c r="B49" i="7"/>
  <c r="B45" i="7"/>
  <c r="B41" i="7"/>
  <c r="B37" i="7"/>
  <c r="B33" i="7"/>
  <c r="B29" i="7"/>
  <c r="B25" i="7"/>
  <c r="B21" i="7"/>
  <c r="B17" i="7"/>
  <c r="B13" i="7"/>
  <c r="B9" i="7"/>
  <c r="C88" i="6"/>
  <c r="C84" i="6"/>
  <c r="C80" i="6"/>
  <c r="D21" i="8"/>
  <c r="E189" i="7"/>
  <c r="E173" i="7"/>
  <c r="E157" i="7"/>
  <c r="E141" i="7"/>
  <c r="E125" i="7"/>
  <c r="E109" i="7"/>
  <c r="E93" i="7"/>
  <c r="C22" i="10"/>
  <c r="D138" i="9"/>
  <c r="B96" i="9"/>
  <c r="C53" i="9"/>
  <c r="C23" i="9"/>
  <c r="C75" i="8"/>
  <c r="B51" i="8"/>
  <c r="C40" i="8"/>
  <c r="E29" i="8"/>
  <c r="B57" i="10"/>
  <c r="B14" i="10"/>
  <c r="D153" i="9"/>
  <c r="C132" i="9"/>
  <c r="B111" i="9"/>
  <c r="D89" i="9"/>
  <c r="C68" i="9"/>
  <c r="B48" i="9"/>
  <c r="D33" i="9"/>
  <c r="C19" i="9"/>
  <c r="D85" i="8"/>
  <c r="C71" i="8"/>
  <c r="C57" i="8"/>
  <c r="E46" i="8"/>
  <c r="B36" i="8"/>
  <c r="C25" i="8"/>
  <c r="C47" i="10"/>
  <c r="B10" i="10"/>
  <c r="D150" i="9"/>
  <c r="C129" i="9"/>
  <c r="B108" i="9"/>
  <c r="D86" i="9"/>
  <c r="C65" i="9"/>
  <c r="D45" i="9"/>
  <c r="C31" i="9"/>
  <c r="C17" i="9"/>
  <c r="C83" i="8"/>
  <c r="E68" i="8"/>
  <c r="E55" i="8"/>
  <c r="B61" i="10"/>
  <c r="D15" i="10"/>
  <c r="B155" i="9"/>
  <c r="D133" i="9"/>
  <c r="C112" i="9"/>
  <c r="B91" i="9"/>
  <c r="D69" i="9"/>
  <c r="D48" i="9"/>
  <c r="D34" i="9"/>
  <c r="C20" i="9"/>
  <c r="C86" i="8"/>
  <c r="C72" i="8"/>
  <c r="B58" i="8"/>
  <c r="C47" i="8"/>
  <c r="E36" i="8"/>
  <c r="B26" i="8"/>
  <c r="C15" i="8"/>
  <c r="B189" i="7"/>
  <c r="C178" i="7"/>
  <c r="D167" i="7"/>
  <c r="B157" i="7"/>
  <c r="C146" i="7"/>
  <c r="D135" i="7"/>
  <c r="B125" i="7"/>
  <c r="C114" i="7"/>
  <c r="D103" i="7"/>
  <c r="B93" i="7"/>
  <c r="B84" i="7"/>
  <c r="B76" i="7"/>
  <c r="B68" i="7"/>
  <c r="B60" i="7"/>
  <c r="B56" i="7"/>
  <c r="B52" i="7"/>
  <c r="B48" i="7"/>
  <c r="B44" i="7"/>
  <c r="B40" i="7"/>
  <c r="B36" i="7"/>
  <c r="B32" i="7"/>
  <c r="B28" i="7"/>
  <c r="B24" i="7"/>
  <c r="B20" i="7"/>
  <c r="B16" i="7"/>
  <c r="B12" i="7"/>
  <c r="B8" i="7"/>
  <c r="C87" i="6"/>
  <c r="C83" i="6"/>
  <c r="C79" i="6"/>
  <c r="C75" i="6"/>
  <c r="C71" i="6"/>
  <c r="C67" i="6"/>
  <c r="C63" i="6"/>
  <c r="C59" i="6"/>
  <c r="C55" i="6"/>
  <c r="C51" i="6"/>
  <c r="C47" i="6"/>
  <c r="C43" i="6"/>
  <c r="C39" i="6"/>
  <c r="C35" i="6"/>
  <c r="C31" i="6"/>
  <c r="C27" i="6"/>
  <c r="C23" i="6"/>
  <c r="C19" i="6"/>
  <c r="C15" i="6"/>
  <c r="C11" i="6"/>
  <c r="C7" i="6"/>
  <c r="B99" i="5"/>
  <c r="B95" i="5"/>
  <c r="B91" i="5"/>
  <c r="B87" i="5"/>
  <c r="B83" i="5"/>
  <c r="B79" i="5"/>
  <c r="B75" i="5"/>
  <c r="B71" i="5"/>
  <c r="B67" i="5"/>
  <c r="B63" i="5"/>
  <c r="B59" i="5"/>
  <c r="B55" i="5"/>
  <c r="B51" i="5"/>
  <c r="B47" i="5"/>
  <c r="E39" i="8"/>
  <c r="E22" i="8"/>
  <c r="E15" i="8"/>
  <c r="C8" i="8"/>
  <c r="D185" i="7"/>
  <c r="D178" i="7"/>
  <c r="C171" i="7"/>
  <c r="C164" i="7"/>
  <c r="C157" i="7"/>
  <c r="B150" i="7"/>
  <c r="B143" i="7"/>
  <c r="B136" i="7"/>
  <c r="D128" i="7"/>
  <c r="D121" i="7"/>
  <c r="D114" i="7"/>
  <c r="C107" i="7"/>
  <c r="C100" i="7"/>
  <c r="C93" i="7"/>
  <c r="E86" i="7"/>
  <c r="D81" i="7"/>
  <c r="C76" i="7"/>
  <c r="E70" i="7"/>
  <c r="D65" i="7"/>
  <c r="C60" i="7"/>
  <c r="E54" i="7"/>
  <c r="D49" i="7"/>
  <c r="C44" i="7"/>
  <c r="E38" i="7"/>
  <c r="D33" i="7"/>
  <c r="C28" i="7"/>
  <c r="E22" i="7"/>
  <c r="D17" i="7"/>
  <c r="C12" i="7"/>
  <c r="C2" i="7"/>
  <c r="E84" i="6"/>
  <c r="D79" i="6"/>
  <c r="B74" i="6"/>
  <c r="E68" i="6"/>
  <c r="D63" i="6"/>
  <c r="B58" i="6"/>
  <c r="E52" i="6"/>
  <c r="D47" i="6"/>
  <c r="B42" i="6"/>
  <c r="E36" i="6"/>
  <c r="D31" i="6"/>
  <c r="B26" i="6"/>
  <c r="E20" i="6"/>
  <c r="D15" i="6"/>
  <c r="B10" i="6"/>
  <c r="D100" i="5"/>
  <c r="C95" i="5"/>
  <c r="E89" i="5"/>
  <c r="D84" i="5"/>
  <c r="C79" i="5"/>
  <c r="E73" i="5"/>
  <c r="B49" i="8"/>
  <c r="E27" i="8"/>
  <c r="E18" i="8"/>
  <c r="E11" i="8"/>
  <c r="D188" i="7"/>
  <c r="D181" i="7"/>
  <c r="D174" i="7"/>
  <c r="C167" i="7"/>
  <c r="C160" i="7"/>
  <c r="C153" i="7"/>
  <c r="B146" i="7"/>
  <c r="B139" i="7"/>
  <c r="B132" i="7"/>
  <c r="D124" i="7"/>
  <c r="D117" i="7"/>
  <c r="D110" i="7"/>
  <c r="C103" i="7"/>
  <c r="C96" i="7"/>
  <c r="C89" i="7"/>
  <c r="E83" i="7"/>
  <c r="C42" i="8"/>
  <c r="E23" i="8"/>
  <c r="C16" i="8"/>
  <c r="C9" i="8"/>
  <c r="D186" i="7"/>
  <c r="C179" i="7"/>
  <c r="C172" i="7"/>
  <c r="C165" i="7"/>
  <c r="B158" i="7"/>
  <c r="B151" i="7"/>
  <c r="B144" i="7"/>
  <c r="D136" i="7"/>
  <c r="D129" i="7"/>
  <c r="D122" i="7"/>
  <c r="C115" i="7"/>
  <c r="C108" i="7"/>
  <c r="C101" i="7"/>
  <c r="B94" i="7"/>
  <c r="D87" i="7"/>
  <c r="C82" i="7"/>
  <c r="E76" i="7"/>
  <c r="D71" i="7"/>
  <c r="C66" i="7"/>
  <c r="E60" i="7"/>
  <c r="D55" i="7"/>
  <c r="C50" i="7"/>
  <c r="E44" i="7"/>
  <c r="D39" i="7"/>
  <c r="C34" i="7"/>
  <c r="E28" i="7"/>
  <c r="D23" i="7"/>
  <c r="C18" i="7"/>
  <c r="E35" i="8"/>
  <c r="C21" i="8"/>
  <c r="C14" i="8"/>
  <c r="B7" i="8"/>
  <c r="C184" i="7"/>
  <c r="C177" i="7"/>
  <c r="B170" i="7"/>
  <c r="B163" i="7"/>
  <c r="D17" i="8"/>
  <c r="E185" i="7"/>
  <c r="E169" i="7"/>
  <c r="E153" i="7"/>
  <c r="E137" i="7"/>
  <c r="E121" i="7"/>
  <c r="E105" i="7"/>
  <c r="E89" i="7"/>
  <c r="B8" i="10"/>
  <c r="B128" i="9"/>
  <c r="C85" i="9"/>
  <c r="D44" i="9"/>
  <c r="C16" i="9"/>
  <c r="C68" i="8"/>
  <c r="E49" i="8"/>
  <c r="B39" i="8"/>
  <c r="C28" i="8"/>
  <c r="B49" i="10"/>
  <c r="C10" i="10"/>
  <c r="B151" i="9"/>
  <c r="D129" i="9"/>
  <c r="C108" i="9"/>
  <c r="B87" i="9"/>
  <c r="D65" i="9"/>
  <c r="B46" i="9"/>
  <c r="B32" i="9"/>
  <c r="D17" i="9"/>
  <c r="D83" i="8"/>
  <c r="D69" i="8"/>
  <c r="B56" i="8"/>
  <c r="C45" i="8"/>
  <c r="E34" i="8"/>
  <c r="B24" i="8"/>
  <c r="C39" i="10"/>
  <c r="D171" i="9"/>
  <c r="B148" i="9"/>
  <c r="D126" i="9"/>
  <c r="C105" i="9"/>
  <c r="B84" i="9"/>
  <c r="D62" i="9"/>
  <c r="B44" i="9"/>
  <c r="D29" i="9"/>
  <c r="C15" i="9"/>
  <c r="D81" i="8"/>
  <c r="C67" i="8"/>
  <c r="C54" i="8"/>
  <c r="B53" i="10"/>
  <c r="B12" i="10"/>
  <c r="C152" i="9"/>
  <c r="B131" i="9"/>
  <c r="D109" i="9"/>
  <c r="C88" i="9"/>
  <c r="B67" i="9"/>
  <c r="B47" i="9"/>
  <c r="D32" i="9"/>
  <c r="D18" i="9"/>
  <c r="D84" i="8"/>
  <c r="C70" i="8"/>
  <c r="E56" i="8"/>
  <c r="B46" i="8"/>
  <c r="C35" i="8"/>
  <c r="E24" i="8"/>
  <c r="B14" i="8"/>
  <c r="D187" i="7"/>
  <c r="B177" i="7"/>
  <c r="C166" i="7"/>
  <c r="D155" i="7"/>
  <c r="B145" i="7"/>
  <c r="C134" i="7"/>
  <c r="D123" i="7"/>
  <c r="B113" i="7"/>
  <c r="C102" i="7"/>
  <c r="D91" i="7"/>
  <c r="B83" i="7"/>
  <c r="B75" i="7"/>
  <c r="B67" i="7"/>
  <c r="B59" i="7"/>
  <c r="B55" i="7"/>
  <c r="B51" i="7"/>
  <c r="B47" i="7"/>
  <c r="B43" i="7"/>
  <c r="B39" i="7"/>
  <c r="B35" i="7"/>
  <c r="B31" i="7"/>
  <c r="B27" i="7"/>
  <c r="B23" i="7"/>
  <c r="B19" i="7"/>
  <c r="B15" i="7"/>
  <c r="B11" i="7"/>
  <c r="B7" i="7"/>
  <c r="C86" i="6"/>
  <c r="C82" i="6"/>
  <c r="C78" i="6"/>
  <c r="C74" i="6"/>
  <c r="C70" i="6"/>
  <c r="C66" i="6"/>
  <c r="C62" i="6"/>
  <c r="C58" i="6"/>
  <c r="C54" i="6"/>
  <c r="C50" i="6"/>
  <c r="C46" i="6"/>
  <c r="C42" i="6"/>
  <c r="C38" i="6"/>
  <c r="C34" i="6"/>
  <c r="C30" i="6"/>
  <c r="C26" i="6"/>
  <c r="C22" i="6"/>
  <c r="C18" i="6"/>
  <c r="C14" i="6"/>
  <c r="C10" i="6"/>
  <c r="D102" i="5"/>
  <c r="B98" i="5"/>
  <c r="B94" i="5"/>
  <c r="B90" i="5"/>
  <c r="B86" i="5"/>
  <c r="B82" i="5"/>
  <c r="B78" i="5"/>
  <c r="B74" i="5"/>
  <c r="B70" i="5"/>
  <c r="B66" i="5"/>
  <c r="B62" i="5"/>
  <c r="B58" i="5"/>
  <c r="B54" i="5"/>
  <c r="B50" i="5"/>
  <c r="B46" i="5"/>
  <c r="C34" i="8"/>
  <c r="B21" i="8"/>
  <c r="E13" i="8"/>
  <c r="C2" i="8"/>
  <c r="B184" i="7"/>
  <c r="D176" i="7"/>
  <c r="D169" i="7"/>
  <c r="D162" i="7"/>
  <c r="C155" i="7"/>
  <c r="C148" i="7"/>
  <c r="C141" i="7"/>
  <c r="B134" i="7"/>
  <c r="B127" i="7"/>
  <c r="B120" i="7"/>
  <c r="D112" i="7"/>
  <c r="D105" i="7"/>
  <c r="D98" i="7"/>
  <c r="C91" i="7"/>
  <c r="D85" i="7"/>
  <c r="C80" i="7"/>
  <c r="E74" i="7"/>
  <c r="D69" i="7"/>
  <c r="C64" i="7"/>
  <c r="E58" i="7"/>
  <c r="D53" i="7"/>
  <c r="C48" i="7"/>
  <c r="E42" i="7"/>
  <c r="D37" i="7"/>
  <c r="C32" i="7"/>
  <c r="E26" i="7"/>
  <c r="D21" i="7"/>
  <c r="C16" i="7"/>
  <c r="E10" i="7"/>
  <c r="E88" i="6"/>
  <c r="D83" i="6"/>
  <c r="B78" i="6"/>
  <c r="E72" i="6"/>
  <c r="D67" i="6"/>
  <c r="B62" i="6"/>
  <c r="E56" i="6"/>
  <c r="D51" i="6"/>
  <c r="B46" i="6"/>
  <c r="E40" i="6"/>
  <c r="D35" i="6"/>
  <c r="B30" i="6"/>
  <c r="E24" i="6"/>
  <c r="D19" i="6"/>
  <c r="B14" i="6"/>
  <c r="E8" i="6"/>
  <c r="C99" i="5"/>
  <c r="E93" i="5"/>
  <c r="D88" i="5"/>
  <c r="C83" i="5"/>
  <c r="E77" i="5"/>
  <c r="D72" i="5"/>
  <c r="E43" i="8"/>
  <c r="C24" i="8"/>
  <c r="B17" i="8"/>
  <c r="E9" i="8"/>
  <c r="B187" i="7"/>
  <c r="B180" i="7"/>
  <c r="D172" i="7"/>
  <c r="D165" i="7"/>
  <c r="D158" i="7"/>
  <c r="C151" i="7"/>
  <c r="C144" i="7"/>
  <c r="C137" i="7"/>
  <c r="B130" i="7"/>
  <c r="B123" i="7"/>
  <c r="B116" i="7"/>
  <c r="D108" i="7"/>
  <c r="D101" i="7"/>
  <c r="D94" i="7"/>
  <c r="E87" i="7"/>
  <c r="D82" i="7"/>
  <c r="B37" i="8"/>
  <c r="E21" i="8"/>
  <c r="E14" i="8"/>
  <c r="E7" i="8"/>
  <c r="D184" i="7"/>
  <c r="D177" i="7"/>
  <c r="D170" i="7"/>
  <c r="C163" i="7"/>
  <c r="C156" i="7"/>
  <c r="C149" i="7"/>
  <c r="B142" i="7"/>
  <c r="B135" i="7"/>
  <c r="B128" i="7"/>
  <c r="D120" i="7"/>
  <c r="D113" i="7"/>
  <c r="D106" i="7"/>
  <c r="C99" i="7"/>
  <c r="C92" i="7"/>
  <c r="C86" i="7"/>
  <c r="E80" i="7"/>
  <c r="D75" i="7"/>
  <c r="C70" i="7"/>
  <c r="E64" i="7"/>
  <c r="D59" i="7"/>
  <c r="C54" i="7"/>
  <c r="E48" i="7"/>
  <c r="D43" i="7"/>
  <c r="C38" i="7"/>
  <c r="E32" i="7"/>
  <c r="D27" i="7"/>
  <c r="C22" i="7"/>
  <c r="E16" i="7"/>
  <c r="C30" i="8"/>
  <c r="E19" i="8"/>
  <c r="C12" i="8"/>
  <c r="D189" i="7"/>
  <c r="D182" i="7"/>
  <c r="C175" i="7"/>
  <c r="C168" i="7"/>
  <c r="C161" i="7"/>
  <c r="B154" i="7"/>
  <c r="B147" i="7"/>
  <c r="B140" i="7"/>
  <c r="D132" i="7"/>
  <c r="D125" i="7"/>
  <c r="D118" i="7"/>
  <c r="C111" i="7"/>
  <c r="C104" i="7"/>
  <c r="C97" i="7"/>
  <c r="B90" i="7"/>
  <c r="D84" i="7"/>
  <c r="C79" i="7"/>
  <c r="E73" i="7"/>
  <c r="D68" i="7"/>
  <c r="C63" i="7"/>
  <c r="B76" i="9"/>
  <c r="B10" i="9"/>
  <c r="B30" i="10"/>
  <c r="D101" i="9"/>
  <c r="C27" i="9"/>
  <c r="E52" i="8"/>
  <c r="B10" i="8"/>
  <c r="D151" i="7"/>
  <c r="B109" i="7"/>
  <c r="B72" i="7"/>
  <c r="B50" i="7"/>
  <c r="B34" i="7"/>
  <c r="B18" i="7"/>
  <c r="C85" i="6"/>
  <c r="C73" i="6"/>
  <c r="C65" i="6"/>
  <c r="C57" i="6"/>
  <c r="C49" i="6"/>
  <c r="C41" i="6"/>
  <c r="C33" i="6"/>
  <c r="C25" i="6"/>
  <c r="C17" i="6"/>
  <c r="C9" i="6"/>
  <c r="B97" i="5"/>
  <c r="B89" i="5"/>
  <c r="B81" i="5"/>
  <c r="B73" i="5"/>
  <c r="B65" i="5"/>
  <c r="B57" i="5"/>
  <c r="B49" i="5"/>
  <c r="B29" i="8"/>
  <c r="B12" i="8"/>
  <c r="B182" i="7"/>
  <c r="B168" i="7"/>
  <c r="D153" i="7"/>
  <c r="C139" i="7"/>
  <c r="C125" i="7"/>
  <c r="B111" i="7"/>
  <c r="D96" i="7"/>
  <c r="C84" i="7"/>
  <c r="D73" i="7"/>
  <c r="E62" i="7"/>
  <c r="C52" i="7"/>
  <c r="D41" i="7"/>
  <c r="E30" i="7"/>
  <c r="C20" i="7"/>
  <c r="D9" i="7"/>
  <c r="B82" i="6"/>
  <c r="D71" i="6"/>
  <c r="E60" i="6"/>
  <c r="B50" i="6"/>
  <c r="D39" i="6"/>
  <c r="E28" i="6"/>
  <c r="B18" i="6"/>
  <c r="D7" i="6"/>
  <c r="D92" i="5"/>
  <c r="E81" i="5"/>
  <c r="C71" i="5"/>
  <c r="C22" i="8"/>
  <c r="B8" i="8"/>
  <c r="B178" i="7"/>
  <c r="B164" i="7"/>
  <c r="D149" i="7"/>
  <c r="C135" i="7"/>
  <c r="C121" i="7"/>
  <c r="B107" i="7"/>
  <c r="D92" i="7"/>
  <c r="C81" i="7"/>
  <c r="B20" i="8"/>
  <c r="B190" i="7"/>
  <c r="B176" i="7"/>
  <c r="D161" i="7"/>
  <c r="C147" i="7"/>
  <c r="C133" i="7"/>
  <c r="B119" i="7"/>
  <c r="D104" i="7"/>
  <c r="D90" i="7"/>
  <c r="D79" i="7"/>
  <c r="E68" i="7"/>
  <c r="C58" i="7"/>
  <c r="D47" i="7"/>
  <c r="E36" i="7"/>
  <c r="C26" i="7"/>
  <c r="C46" i="8"/>
  <c r="E17" i="8"/>
  <c r="B188" i="7"/>
  <c r="D173" i="7"/>
  <c r="C159" i="7"/>
  <c r="D150" i="7"/>
  <c r="D141" i="7"/>
  <c r="B131" i="7"/>
  <c r="B122" i="7"/>
  <c r="C113" i="7"/>
  <c r="D102" i="7"/>
  <c r="D93" i="7"/>
  <c r="E85" i="7"/>
  <c r="E77" i="7"/>
  <c r="C71" i="7"/>
  <c r="D64" i="7"/>
  <c r="E57" i="7"/>
  <c r="D52" i="7"/>
  <c r="C47" i="7"/>
  <c r="E41" i="7"/>
  <c r="D36" i="7"/>
  <c r="C31" i="7"/>
  <c r="E25" i="7"/>
  <c r="D20" i="7"/>
  <c r="C15" i="7"/>
  <c r="E9" i="7"/>
  <c r="E87" i="6"/>
  <c r="D82" i="6"/>
  <c r="B77" i="6"/>
  <c r="E71" i="6"/>
  <c r="D66" i="6"/>
  <c r="B61" i="6"/>
  <c r="E55" i="6"/>
  <c r="D50" i="6"/>
  <c r="B45" i="6"/>
  <c r="E39" i="6"/>
  <c r="D34" i="6"/>
  <c r="B29" i="6"/>
  <c r="E23" i="6"/>
  <c r="D18" i="6"/>
  <c r="B13" i="6"/>
  <c r="E7" i="6"/>
  <c r="C98" i="5"/>
  <c r="E92" i="5"/>
  <c r="D87" i="5"/>
  <c r="C82" i="5"/>
  <c r="E76" i="5"/>
  <c r="D71" i="5"/>
  <c r="C66" i="5"/>
  <c r="E60" i="5"/>
  <c r="D55" i="5"/>
  <c r="C50" i="5"/>
  <c r="B45" i="5"/>
  <c r="B41" i="5"/>
  <c r="B37" i="5"/>
  <c r="B33" i="5"/>
  <c r="B29" i="5"/>
  <c r="B25" i="5"/>
  <c r="B21" i="5"/>
  <c r="B17" i="5"/>
  <c r="B13" i="5"/>
  <c r="B9" i="5"/>
  <c r="B104" i="4"/>
  <c r="B100" i="4"/>
  <c r="B96" i="4"/>
  <c r="B92" i="4"/>
  <c r="B88" i="4"/>
  <c r="B84" i="4"/>
  <c r="B80" i="4"/>
  <c r="B76" i="4"/>
  <c r="B72" i="4"/>
  <c r="B68" i="4"/>
  <c r="B64" i="4"/>
  <c r="B60" i="4"/>
  <c r="B56" i="4"/>
  <c r="B52" i="4"/>
  <c r="B48" i="4"/>
  <c r="B44" i="4"/>
  <c r="B40" i="4"/>
  <c r="B36" i="4"/>
  <c r="B32" i="4"/>
  <c r="B28" i="4"/>
  <c r="B24" i="4"/>
  <c r="B20" i="4"/>
  <c r="B16" i="4"/>
  <c r="B12" i="4"/>
  <c r="B8" i="4"/>
  <c r="E154" i="2"/>
  <c r="E150" i="2"/>
  <c r="E146" i="2"/>
  <c r="E142" i="2"/>
  <c r="E138" i="2"/>
  <c r="E134" i="2"/>
  <c r="E130" i="2"/>
  <c r="C69" i="7"/>
  <c r="E47" i="7"/>
  <c r="D26" i="7"/>
  <c r="D10" i="7"/>
  <c r="B83" i="6"/>
  <c r="D72" i="6"/>
  <c r="E61" i="6"/>
  <c r="B51" i="6"/>
  <c r="D40" i="6"/>
  <c r="E29" i="6"/>
  <c r="B19" i="6"/>
  <c r="D8" i="6"/>
  <c r="D93" i="5"/>
  <c r="E82" i="5"/>
  <c r="C72" i="5"/>
  <c r="C64" i="5"/>
  <c r="C57" i="5"/>
  <c r="E49" i="5"/>
  <c r="D54" i="9"/>
  <c r="C76" i="8"/>
  <c r="D166" i="9"/>
  <c r="C80" i="9"/>
  <c r="C13" i="9"/>
  <c r="B42" i="8"/>
  <c r="D183" i="7"/>
  <c r="B141" i="7"/>
  <c r="C98" i="7"/>
  <c r="B64" i="7"/>
  <c r="B46" i="7"/>
  <c r="B30" i="7"/>
  <c r="B14" i="7"/>
  <c r="C81" i="6"/>
  <c r="C72" i="6"/>
  <c r="C64" i="6"/>
  <c r="C56" i="6"/>
  <c r="C48" i="6"/>
  <c r="C40" i="6"/>
  <c r="C32" i="6"/>
  <c r="C24" i="6"/>
  <c r="C16" i="6"/>
  <c r="C8" i="6"/>
  <c r="B96" i="5"/>
  <c r="B88" i="5"/>
  <c r="B80" i="5"/>
  <c r="B72" i="5"/>
  <c r="B64" i="5"/>
  <c r="B56" i="5"/>
  <c r="B48" i="5"/>
  <c r="B25" i="8"/>
  <c r="C10" i="8"/>
  <c r="C180" i="7"/>
  <c r="B166" i="7"/>
  <c r="B152" i="7"/>
  <c r="D137" i="7"/>
  <c r="C123" i="7"/>
  <c r="C109" i="7"/>
  <c r="B95" i="7"/>
  <c r="E82" i="7"/>
  <c r="C72" i="7"/>
  <c r="D61" i="7"/>
  <c r="E50" i="7"/>
  <c r="C40" i="7"/>
  <c r="D29" i="7"/>
  <c r="E18" i="7"/>
  <c r="C8" i="7"/>
  <c r="E80" i="6"/>
  <c r="B70" i="6"/>
  <c r="D59" i="6"/>
  <c r="E48" i="6"/>
  <c r="B38" i="6"/>
  <c r="D27" i="6"/>
  <c r="E16" i="6"/>
  <c r="E101" i="5"/>
  <c r="C91" i="5"/>
  <c r="D80" i="5"/>
  <c r="E69" i="5"/>
  <c r="C20" i="8"/>
  <c r="D190" i="7"/>
  <c r="C176" i="7"/>
  <c r="B162" i="7"/>
  <c r="B148" i="7"/>
  <c r="D133" i="7"/>
  <c r="C119" i="7"/>
  <c r="C105" i="7"/>
  <c r="B91" i="7"/>
  <c r="E47" i="8"/>
  <c r="C18" i="8"/>
  <c r="C188" i="7"/>
  <c r="B174" i="7"/>
  <c r="B160" i="7"/>
  <c r="D145" i="7"/>
  <c r="C131" i="7"/>
  <c r="C117" i="7"/>
  <c r="B103" i="7"/>
  <c r="E88" i="7"/>
  <c r="C78" i="7"/>
  <c r="D67" i="7"/>
  <c r="E56" i="7"/>
  <c r="C46" i="7"/>
  <c r="D35" i="7"/>
  <c r="E24" i="7"/>
  <c r="B41" i="8"/>
  <c r="B16" i="8"/>
  <c r="B186" i="7"/>
  <c r="B172" i="7"/>
  <c r="D157" i="7"/>
  <c r="D148" i="7"/>
  <c r="B138" i="7"/>
  <c r="C129" i="7"/>
  <c r="C120" i="7"/>
  <c r="D109" i="7"/>
  <c r="D100" i="7"/>
  <c r="B92" i="7"/>
  <c r="C83" i="7"/>
  <c r="D76" i="7"/>
  <c r="E69" i="7"/>
  <c r="E61" i="7"/>
  <c r="D56" i="7"/>
  <c r="C51" i="7"/>
  <c r="E45" i="7"/>
  <c r="D40" i="7"/>
  <c r="C35" i="7"/>
  <c r="E29" i="7"/>
  <c r="D24" i="7"/>
  <c r="C19" i="7"/>
  <c r="E13" i="7"/>
  <c r="D8" i="7"/>
  <c r="D86" i="6"/>
  <c r="B81" i="6"/>
  <c r="E75" i="6"/>
  <c r="D70" i="6"/>
  <c r="B65" i="6"/>
  <c r="E59" i="6"/>
  <c r="D54" i="6"/>
  <c r="B49" i="6"/>
  <c r="E43" i="6"/>
  <c r="D38" i="6"/>
  <c r="B33" i="6"/>
  <c r="E27" i="6"/>
  <c r="D22" i="6"/>
  <c r="B17" i="6"/>
  <c r="E11" i="6"/>
  <c r="E102" i="5"/>
  <c r="E96" i="5"/>
  <c r="D91" i="5"/>
  <c r="D38" i="9"/>
  <c r="E61" i="8"/>
  <c r="C144" i="9"/>
  <c r="B59" i="9"/>
  <c r="C79" i="8"/>
  <c r="C31" i="8"/>
  <c r="B173" i="7"/>
  <c r="C130" i="7"/>
  <c r="B88" i="7"/>
  <c r="B58" i="7"/>
  <c r="B42" i="7"/>
  <c r="B26" i="7"/>
  <c r="B10" i="7"/>
  <c r="C77" i="6"/>
  <c r="C69" i="6"/>
  <c r="C61" i="6"/>
  <c r="C53" i="6"/>
  <c r="C45" i="6"/>
  <c r="C37" i="6"/>
  <c r="C29" i="6"/>
  <c r="C21" i="6"/>
  <c r="C13" i="6"/>
  <c r="B101" i="5"/>
  <c r="B93" i="5"/>
  <c r="B85" i="5"/>
  <c r="B77" i="5"/>
  <c r="B69" i="5"/>
  <c r="B61" i="5"/>
  <c r="B53" i="5"/>
  <c r="C50" i="8"/>
  <c r="B19" i="8"/>
  <c r="C189" i="7"/>
  <c r="B175" i="7"/>
  <c r="D160" i="7"/>
  <c r="D146" i="7"/>
  <c r="C132" i="7"/>
  <c r="B118" i="7"/>
  <c r="B104" i="7"/>
  <c r="D89" i="7"/>
  <c r="E78" i="7"/>
  <c r="C68" i="7"/>
  <c r="D57" i="7"/>
  <c r="E46" i="7"/>
  <c r="C36" i="7"/>
  <c r="D25" i="7"/>
  <c r="E14" i="7"/>
  <c r="D87" i="6"/>
  <c r="E76" i="6"/>
  <c r="B66" i="6"/>
  <c r="D55" i="6"/>
  <c r="E44" i="6"/>
  <c r="B34" i="6"/>
  <c r="D23" i="6"/>
  <c r="E12" i="6"/>
  <c r="E97" i="5"/>
  <c r="C87" i="5"/>
  <c r="D76" i="5"/>
  <c r="C38" i="8"/>
  <c r="B15" i="8"/>
  <c r="C185" i="7"/>
  <c r="B171" i="7"/>
  <c r="D156" i="7"/>
  <c r="D142" i="7"/>
  <c r="C128" i="7"/>
  <c r="B114" i="7"/>
  <c r="B100" i="7"/>
  <c r="D86" i="7"/>
  <c r="E31" i="8"/>
  <c r="B13" i="8"/>
  <c r="B183" i="7"/>
  <c r="D168" i="7"/>
  <c r="D154" i="7"/>
  <c r="C140" i="7"/>
  <c r="B126" i="7"/>
  <c r="B112" i="7"/>
  <c r="D97" i="7"/>
  <c r="E84" i="7"/>
  <c r="C74" i="7"/>
  <c r="D63" i="7"/>
  <c r="E52" i="7"/>
  <c r="C42" i="7"/>
  <c r="D31" i="7"/>
  <c r="E20" i="7"/>
  <c r="E25" i="8"/>
  <c r="E10" i="8"/>
  <c r="D180" i="7"/>
  <c r="D166" i="7"/>
  <c r="B156" i="7"/>
  <c r="C145" i="7"/>
  <c r="C136" i="7"/>
  <c r="C127" i="7"/>
  <c r="D116" i="7"/>
  <c r="B108" i="7"/>
  <c r="B99" i="7"/>
  <c r="D88" i="7"/>
  <c r="E81" i="7"/>
  <c r="C75" i="7"/>
  <c r="C67" i="7"/>
  <c r="D60" i="7"/>
  <c r="C55" i="7"/>
  <c r="E49" i="7"/>
  <c r="D44" i="7"/>
  <c r="C39" i="7"/>
  <c r="E33" i="7"/>
  <c r="D28" i="7"/>
  <c r="C23" i="7"/>
  <c r="E17" i="7"/>
  <c r="D12" i="7"/>
  <c r="C7" i="7"/>
  <c r="B85" i="6"/>
  <c r="E79" i="6"/>
  <c r="D74" i="6"/>
  <c r="B69" i="6"/>
  <c r="E63" i="6"/>
  <c r="D58" i="6"/>
  <c r="B53" i="6"/>
  <c r="E47" i="6"/>
  <c r="D42" i="6"/>
  <c r="B37" i="6"/>
  <c r="E31" i="6"/>
  <c r="D26" i="6"/>
  <c r="B21" i="6"/>
  <c r="E15" i="6"/>
  <c r="D10" i="6"/>
  <c r="E100" i="5"/>
  <c r="D95" i="5"/>
  <c r="C90" i="5"/>
  <c r="E84" i="5"/>
  <c r="D79" i="5"/>
  <c r="C74" i="5"/>
  <c r="E68" i="5"/>
  <c r="D63" i="5"/>
  <c r="C58" i="5"/>
  <c r="E52" i="5"/>
  <c r="D47" i="5"/>
  <c r="B43" i="5"/>
  <c r="B39" i="5"/>
  <c r="B35" i="5"/>
  <c r="B31" i="5"/>
  <c r="B27" i="5"/>
  <c r="B23" i="5"/>
  <c r="B19" i="5"/>
  <c r="B15" i="5"/>
  <c r="B11" i="5"/>
  <c r="B7" i="5"/>
  <c r="B102" i="4"/>
  <c r="B98" i="4"/>
  <c r="B94" i="4"/>
  <c r="B90" i="4"/>
  <c r="B86" i="4"/>
  <c r="B82" i="4"/>
  <c r="B78" i="4"/>
  <c r="B74" i="4"/>
  <c r="B70" i="4"/>
  <c r="B66" i="4"/>
  <c r="B62" i="4"/>
  <c r="B58" i="4"/>
  <c r="B54" i="4"/>
  <c r="B50" i="4"/>
  <c r="B46" i="4"/>
  <c r="B42" i="4"/>
  <c r="B38" i="4"/>
  <c r="B34" i="4"/>
  <c r="B30" i="4"/>
  <c r="B26" i="4"/>
  <c r="B22" i="4"/>
  <c r="B18" i="4"/>
  <c r="B14" i="4"/>
  <c r="B10" i="4"/>
  <c r="E156" i="2"/>
  <c r="E152" i="2"/>
  <c r="E148" i="2"/>
  <c r="E144" i="2"/>
  <c r="E140" i="2"/>
  <c r="E136" i="2"/>
  <c r="E132" i="2"/>
  <c r="E79" i="7"/>
  <c r="D58" i="7"/>
  <c r="C37" i="7"/>
  <c r="E15" i="7"/>
  <c r="D88" i="6"/>
  <c r="E77" i="6"/>
  <c r="B67" i="6"/>
  <c r="D56" i="6"/>
  <c r="E45" i="6"/>
  <c r="B35" i="6"/>
  <c r="D24" i="6"/>
  <c r="E13" i="6"/>
  <c r="E98" i="5"/>
  <c r="C88" i="5"/>
  <c r="D77" i="5"/>
  <c r="C24" i="9"/>
  <c r="E64" i="8"/>
  <c r="B80" i="7"/>
  <c r="C89" i="6"/>
  <c r="C52" i="6"/>
  <c r="C20" i="6"/>
  <c r="B84" i="5"/>
  <c r="B52" i="5"/>
  <c r="C173" i="7"/>
  <c r="C116" i="7"/>
  <c r="E66" i="7"/>
  <c r="C24" i="7"/>
  <c r="E64" i="6"/>
  <c r="B22" i="6"/>
  <c r="C75" i="5"/>
  <c r="C169" i="7"/>
  <c r="C112" i="7"/>
  <c r="B11" i="8"/>
  <c r="D138" i="7"/>
  <c r="D83" i="7"/>
  <c r="E40" i="7"/>
  <c r="B9" i="8"/>
  <c r="C143" i="7"/>
  <c r="B106" i="7"/>
  <c r="D72" i="7"/>
  <c r="D48" i="7"/>
  <c r="C27" i="7"/>
  <c r="B89" i="6"/>
  <c r="E67" i="6"/>
  <c r="D46" i="6"/>
  <c r="B25" i="6"/>
  <c r="D99" i="5"/>
  <c r="D83" i="5"/>
  <c r="E72" i="5"/>
  <c r="C62" i="5"/>
  <c r="D51" i="5"/>
  <c r="B42" i="5"/>
  <c r="B34" i="5"/>
  <c r="B26" i="5"/>
  <c r="B18" i="5"/>
  <c r="B10" i="5"/>
  <c r="B101" i="4"/>
  <c r="B93" i="4"/>
  <c r="B85" i="4"/>
  <c r="B77" i="4"/>
  <c r="B69" i="4"/>
  <c r="B61" i="4"/>
  <c r="B53" i="4"/>
  <c r="B45" i="4"/>
  <c r="B37" i="4"/>
  <c r="B29" i="4"/>
  <c r="B21" i="4"/>
  <c r="B13" i="4"/>
  <c r="E155" i="2"/>
  <c r="E147" i="2"/>
  <c r="E139" i="2"/>
  <c r="E131" i="2"/>
  <c r="C53" i="7"/>
  <c r="C13" i="7"/>
  <c r="B75" i="6"/>
  <c r="E53" i="6"/>
  <c r="D32" i="6"/>
  <c r="B11" i="6"/>
  <c r="D85" i="5"/>
  <c r="E67" i="5"/>
  <c r="E58" i="5"/>
  <c r="C48" i="5"/>
  <c r="C42" i="5"/>
  <c r="E36" i="5"/>
  <c r="D31" i="5"/>
  <c r="C26" i="5"/>
  <c r="E20" i="5"/>
  <c r="D15" i="5"/>
  <c r="C10" i="5"/>
  <c r="E103" i="4"/>
  <c r="D98" i="4"/>
  <c r="C93" i="4"/>
  <c r="E87" i="4"/>
  <c r="D82" i="4"/>
  <c r="C77" i="4"/>
  <c r="E71" i="4"/>
  <c r="D66" i="4"/>
  <c r="C61" i="4"/>
  <c r="E55" i="4"/>
  <c r="D50" i="4"/>
  <c r="E43" i="4"/>
  <c r="D38" i="4"/>
  <c r="C33" i="4"/>
  <c r="D26" i="4"/>
  <c r="C17" i="4"/>
  <c r="B7" i="3"/>
  <c r="C146" i="2"/>
  <c r="B137" i="2"/>
  <c r="B126" i="2"/>
  <c r="B117" i="2"/>
  <c r="B109" i="2"/>
  <c r="B103" i="2"/>
  <c r="B96" i="2"/>
  <c r="B87" i="2"/>
  <c r="B80" i="2"/>
  <c r="B72" i="2"/>
  <c r="B64" i="2"/>
  <c r="B57" i="2"/>
  <c r="B50" i="2"/>
  <c r="B42" i="2"/>
  <c r="B33" i="2"/>
  <c r="B26" i="2"/>
  <c r="B17" i="2"/>
  <c r="B9" i="2"/>
  <c r="E36" i="4"/>
  <c r="C22" i="4"/>
  <c r="C2" i="3"/>
  <c r="D78" i="7"/>
  <c r="C57" i="7"/>
  <c r="E35" i="7"/>
  <c r="D15" i="7"/>
  <c r="B88" i="6"/>
  <c r="D77" i="6"/>
  <c r="E66" i="6"/>
  <c r="B56" i="6"/>
  <c r="D45" i="6"/>
  <c r="E34" i="6"/>
  <c r="B24" i="6"/>
  <c r="D13" i="6"/>
  <c r="D98" i="5"/>
  <c r="E87" i="5"/>
  <c r="C77" i="5"/>
  <c r="C67" i="5"/>
  <c r="C60" i="5"/>
  <c r="C53" i="5"/>
  <c r="E45" i="5"/>
  <c r="D40" i="5"/>
  <c r="C35" i="5"/>
  <c r="E29" i="5"/>
  <c r="D24" i="5"/>
  <c r="C19" i="5"/>
  <c r="E13" i="5"/>
  <c r="D8" i="5"/>
  <c r="C102" i="4"/>
  <c r="E96" i="4"/>
  <c r="C90" i="4"/>
  <c r="D83" i="4"/>
  <c r="C78" i="4"/>
  <c r="E72" i="4"/>
  <c r="D67" i="4"/>
  <c r="E60" i="4"/>
  <c r="E52" i="4"/>
  <c r="C38" i="4"/>
  <c r="E20" i="4"/>
  <c r="C155" i="2"/>
  <c r="C77" i="7"/>
  <c r="E55" i="7"/>
  <c r="D34" i="7"/>
  <c r="D14" i="7"/>
  <c r="B87" i="6"/>
  <c r="D76" i="6"/>
  <c r="E65" i="6"/>
  <c r="B55" i="6"/>
  <c r="D44" i="6"/>
  <c r="E33" i="6"/>
  <c r="B23" i="6"/>
  <c r="D12" i="6"/>
  <c r="D97" i="5"/>
  <c r="E86" i="5"/>
  <c r="C76" i="5"/>
  <c r="E66" i="5"/>
  <c r="E59" i="5"/>
  <c r="D52" i="5"/>
  <c r="D45" i="5"/>
  <c r="C40" i="5"/>
  <c r="E34" i="5"/>
  <c r="D29" i="5"/>
  <c r="C24" i="5"/>
  <c r="E18" i="5"/>
  <c r="D13" i="5"/>
  <c r="C8" i="5"/>
  <c r="E101" i="4"/>
  <c r="D96" i="4"/>
  <c r="C91" i="4"/>
  <c r="E85" i="4"/>
  <c r="D80" i="4"/>
  <c r="C75" i="4"/>
  <c r="E69" i="4"/>
  <c r="E59" i="7"/>
  <c r="D38" i="7"/>
  <c r="C17" i="7"/>
  <c r="D89" i="6"/>
  <c r="E78" i="6"/>
  <c r="B68" i="6"/>
  <c r="D57" i="6"/>
  <c r="E46" i="6"/>
  <c r="B36" i="6"/>
  <c r="D25" i="6"/>
  <c r="E14" i="6"/>
  <c r="E99" i="5"/>
  <c r="C89" i="5"/>
  <c r="D78" i="5"/>
  <c r="C68" i="5"/>
  <c r="C61" i="5"/>
  <c r="E53" i="5"/>
  <c r="E46" i="5"/>
  <c r="C41" i="5"/>
  <c r="E35" i="5"/>
  <c r="D30" i="5"/>
  <c r="C25" i="5"/>
  <c r="E19" i="5"/>
  <c r="D14" i="5"/>
  <c r="C9" i="5"/>
  <c r="E102" i="4"/>
  <c r="D97" i="4"/>
  <c r="C92" i="4"/>
  <c r="E86" i="4"/>
  <c r="D81" i="4"/>
  <c r="C76" i="4"/>
  <c r="E70" i="4"/>
  <c r="D65" i="4"/>
  <c r="C60" i="4"/>
  <c r="E54" i="4"/>
  <c r="D49" i="4"/>
  <c r="C44" i="4"/>
  <c r="E38" i="4"/>
  <c r="D33" i="4"/>
  <c r="C28" i="4"/>
  <c r="E22" i="4"/>
  <c r="D17" i="4"/>
  <c r="C12" i="4"/>
  <c r="C2" i="4"/>
  <c r="B152" i="2"/>
  <c r="D146" i="2"/>
  <c r="C141" i="2"/>
  <c r="B136" i="2"/>
  <c r="D130" i="2"/>
  <c r="C126" i="2"/>
  <c r="C122" i="2"/>
  <c r="C118" i="2"/>
  <c r="C114" i="2"/>
  <c r="C110" i="2"/>
  <c r="C106" i="2"/>
  <c r="C101" i="2"/>
  <c r="C97" i="2"/>
  <c r="C93" i="2"/>
  <c r="C89" i="2"/>
  <c r="C85" i="2"/>
  <c r="C81" i="2"/>
  <c r="C77" i="2"/>
  <c r="C73" i="2"/>
  <c r="C69" i="2"/>
  <c r="C65" i="2"/>
  <c r="C61" i="2"/>
  <c r="C57" i="2"/>
  <c r="C53" i="2"/>
  <c r="C49" i="2"/>
  <c r="C45" i="2"/>
  <c r="C41" i="2"/>
  <c r="C37" i="2"/>
  <c r="B93" i="10"/>
  <c r="E20" i="8"/>
  <c r="B54" i="7"/>
  <c r="C76" i="6"/>
  <c r="C44" i="6"/>
  <c r="C12" i="6"/>
  <c r="B76" i="5"/>
  <c r="B45" i="8"/>
  <c r="B159" i="7"/>
  <c r="B102" i="7"/>
  <c r="C56" i="7"/>
  <c r="D13" i="7"/>
  <c r="B54" i="6"/>
  <c r="D11" i="6"/>
  <c r="B33" i="8"/>
  <c r="B155" i="7"/>
  <c r="B98" i="7"/>
  <c r="C181" i="7"/>
  <c r="C124" i="7"/>
  <c r="E72" i="7"/>
  <c r="C30" i="7"/>
  <c r="B179" i="7"/>
  <c r="D134" i="7"/>
  <c r="C95" i="7"/>
  <c r="E65" i="7"/>
  <c r="C43" i="7"/>
  <c r="E21" i="7"/>
  <c r="E83" i="6"/>
  <c r="D62" i="6"/>
  <c r="B41" i="6"/>
  <c r="E19" i="6"/>
  <c r="C94" i="5"/>
  <c r="E80" i="5"/>
  <c r="C70" i="5"/>
  <c r="D59" i="5"/>
  <c r="E48" i="5"/>
  <c r="B40" i="5"/>
  <c r="B32" i="5"/>
  <c r="B24" i="5"/>
  <c r="B16" i="5"/>
  <c r="B8" i="5"/>
  <c r="B99" i="4"/>
  <c r="B91" i="4"/>
  <c r="B83" i="4"/>
  <c r="B75" i="4"/>
  <c r="B67" i="4"/>
  <c r="B59" i="4"/>
  <c r="B51" i="4"/>
  <c r="B43" i="4"/>
  <c r="B35" i="4"/>
  <c r="B27" i="4"/>
  <c r="B19" i="4"/>
  <c r="B11" i="4"/>
  <c r="E153" i="2"/>
  <c r="E145" i="2"/>
  <c r="E137" i="2"/>
  <c r="E129" i="2"/>
  <c r="D42" i="7"/>
  <c r="E7" i="7"/>
  <c r="E69" i="6"/>
  <c r="D48" i="6"/>
  <c r="B27" i="6"/>
  <c r="D101" i="5"/>
  <c r="C80" i="5"/>
  <c r="E65" i="5"/>
  <c r="C55" i="5"/>
  <c r="D46" i="5"/>
  <c r="E40" i="5"/>
  <c r="D35" i="5"/>
  <c r="C30" i="5"/>
  <c r="E24" i="5"/>
  <c r="D19" i="5"/>
  <c r="C14" i="5"/>
  <c r="E8" i="5"/>
  <c r="D102" i="4"/>
  <c r="C97" i="4"/>
  <c r="E91" i="4"/>
  <c r="D86" i="4"/>
  <c r="C81" i="4"/>
  <c r="E75" i="4"/>
  <c r="D70" i="4"/>
  <c r="C65" i="4"/>
  <c r="E59" i="4"/>
  <c r="D54" i="4"/>
  <c r="C49" i="4"/>
  <c r="D42" i="4"/>
  <c r="C37" i="4"/>
  <c r="E31" i="4"/>
  <c r="C25" i="4"/>
  <c r="D14" i="4"/>
  <c r="C154" i="2"/>
  <c r="D143" i="2"/>
  <c r="C134" i="2"/>
  <c r="B124" i="2"/>
  <c r="B115" i="2"/>
  <c r="B108" i="2"/>
  <c r="B101" i="2"/>
  <c r="B94" i="2"/>
  <c r="B86" i="2"/>
  <c r="B78" i="2"/>
  <c r="B70" i="2"/>
  <c r="B62" i="2"/>
  <c r="B55" i="2"/>
  <c r="B47" i="2"/>
  <c r="B40" i="2"/>
  <c r="B31" i="2"/>
  <c r="B23" i="2"/>
  <c r="B15" i="2"/>
  <c r="B7" i="2"/>
  <c r="E32" i="4"/>
  <c r="D19" i="4"/>
  <c r="C151" i="2"/>
  <c r="C73" i="7"/>
  <c r="E51" i="7"/>
  <c r="D30" i="7"/>
  <c r="E12" i="7"/>
  <c r="D85" i="6"/>
  <c r="E74" i="6"/>
  <c r="B64" i="6"/>
  <c r="D53" i="6"/>
  <c r="E42" i="6"/>
  <c r="B32" i="6"/>
  <c r="D21" i="6"/>
  <c r="E10" i="6"/>
  <c r="E95" i="5"/>
  <c r="C85" i="5"/>
  <c r="D74" i="5"/>
  <c r="D65" i="5"/>
  <c r="D58" i="5"/>
  <c r="C51" i="5"/>
  <c r="D44" i="5"/>
  <c r="C39" i="5"/>
  <c r="E33" i="5"/>
  <c r="D28" i="5"/>
  <c r="C23" i="5"/>
  <c r="E17" i="5"/>
  <c r="D12" i="5"/>
  <c r="C7" i="5"/>
  <c r="E100" i="4"/>
  <c r="D95" i="4"/>
  <c r="D87" i="4"/>
  <c r="C82" i="4"/>
  <c r="E76" i="4"/>
  <c r="D71" i="4"/>
  <c r="C66" i="4"/>
  <c r="D59" i="4"/>
  <c r="E48" i="4"/>
  <c r="C34" i="4"/>
  <c r="C14" i="4"/>
  <c r="D152" i="2"/>
  <c r="E71" i="7"/>
  <c r="D50" i="7"/>
  <c r="C29" i="7"/>
  <c r="E11" i="7"/>
  <c r="D84" i="6"/>
  <c r="E73" i="6"/>
  <c r="B63" i="6"/>
  <c r="D52" i="6"/>
  <c r="E41" i="6"/>
  <c r="B31" i="6"/>
  <c r="D20" i="6"/>
  <c r="E9" i="6"/>
  <c r="E94" i="5"/>
  <c r="C84" i="5"/>
  <c r="D73" i="5"/>
  <c r="C65" i="5"/>
  <c r="E57" i="5"/>
  <c r="E50" i="5"/>
  <c r="C44" i="5"/>
  <c r="E38" i="5"/>
  <c r="D33" i="5"/>
  <c r="C28" i="5"/>
  <c r="E22" i="5"/>
  <c r="D17" i="5"/>
  <c r="C12" i="5"/>
  <c r="C2" i="5"/>
  <c r="D100" i="4"/>
  <c r="C95" i="4"/>
  <c r="E89" i="4"/>
  <c r="D84" i="4"/>
  <c r="C79" i="4"/>
  <c r="E73" i="4"/>
  <c r="E75" i="7"/>
  <c r="D54" i="7"/>
  <c r="C33" i="7"/>
  <c r="C14" i="7"/>
  <c r="E86" i="6"/>
  <c r="B123" i="9"/>
  <c r="C162" i="7"/>
  <c r="B38" i="7"/>
  <c r="C68" i="6"/>
  <c r="C36" i="6"/>
  <c r="B100" i="5"/>
  <c r="B68" i="5"/>
  <c r="C17" i="8"/>
  <c r="D144" i="7"/>
  <c r="C88" i="7"/>
  <c r="D45" i="7"/>
  <c r="B86" i="6"/>
  <c r="D43" i="6"/>
  <c r="D96" i="5"/>
  <c r="C13" i="8"/>
  <c r="D140" i="7"/>
  <c r="C85" i="7"/>
  <c r="B167" i="7"/>
  <c r="B110" i="7"/>
  <c r="C62" i="7"/>
  <c r="D19" i="7"/>
  <c r="D164" i="7"/>
  <c r="B124" i="7"/>
  <c r="C87" i="7"/>
  <c r="C59" i="7"/>
  <c r="E37" i="7"/>
  <c r="D16" i="7"/>
  <c r="D78" i="6"/>
  <c r="B57" i="6"/>
  <c r="E35" i="6"/>
  <c r="D14" i="6"/>
  <c r="E88" i="5"/>
  <c r="C78" i="5"/>
  <c r="D67" i="5"/>
  <c r="E56" i="5"/>
  <c r="C46" i="5"/>
  <c r="B38" i="5"/>
  <c r="B30" i="5"/>
  <c r="B22" i="5"/>
  <c r="B14" i="5"/>
  <c r="B105" i="4"/>
  <c r="B97" i="4"/>
  <c r="B89" i="4"/>
  <c r="B81" i="4"/>
  <c r="B73" i="4"/>
  <c r="B65" i="4"/>
  <c r="B57" i="4"/>
  <c r="B49" i="4"/>
  <c r="B41" i="4"/>
  <c r="B33" i="4"/>
  <c r="B25" i="4"/>
  <c r="B17" i="4"/>
  <c r="B9" i="4"/>
  <c r="E151" i="2"/>
  <c r="E143" i="2"/>
  <c r="E135" i="2"/>
  <c r="D74" i="7"/>
  <c r="E31" i="7"/>
  <c r="E85" i="6"/>
  <c r="D64" i="6"/>
  <c r="B43" i="6"/>
  <c r="E21" i="6"/>
  <c r="C96" i="5"/>
  <c r="E74" i="5"/>
  <c r="D62" i="5"/>
  <c r="D53" i="5"/>
  <c r="E44" i="5"/>
  <c r="D39" i="5"/>
  <c r="C34" i="5"/>
  <c r="E28" i="5"/>
  <c r="D23" i="5"/>
  <c r="C18" i="5"/>
  <c r="E12" i="5"/>
  <c r="D7" i="5"/>
  <c r="C101" i="4"/>
  <c r="E95" i="4"/>
  <c r="D90" i="4"/>
  <c r="C85" i="4"/>
  <c r="E79" i="4"/>
  <c r="D74" i="4"/>
  <c r="C69" i="4"/>
  <c r="E63" i="4"/>
  <c r="D58" i="4"/>
  <c r="C53" i="4"/>
  <c r="E47" i="4"/>
  <c r="C41" i="4"/>
  <c r="E35" i="4"/>
  <c r="D30" i="4"/>
  <c r="D22" i="4"/>
  <c r="E11" i="4"/>
  <c r="D151" i="2"/>
  <c r="C142" i="2"/>
  <c r="C130" i="2"/>
  <c r="B122" i="2"/>
  <c r="B113" i="2"/>
  <c r="B106" i="2"/>
  <c r="B100" i="2"/>
  <c r="B92" i="2"/>
  <c r="B84" i="2"/>
  <c r="B76" i="2"/>
  <c r="B68" i="2"/>
  <c r="B60" i="2"/>
  <c r="B53" i="2"/>
  <c r="B45" i="2"/>
  <c r="B38" i="2"/>
  <c r="B30" i="2"/>
  <c r="B21" i="2"/>
  <c r="B13" i="2"/>
  <c r="E88" i="4"/>
  <c r="E28" i="4"/>
  <c r="E16" i="4"/>
  <c r="D148" i="2"/>
  <c r="E67" i="7"/>
  <c r="D46" i="7"/>
  <c r="C25" i="7"/>
  <c r="C10" i="7"/>
  <c r="E82" i="6"/>
  <c r="B72" i="6"/>
  <c r="D61" i="6"/>
  <c r="E50" i="6"/>
  <c r="B40" i="6"/>
  <c r="D29" i="6"/>
  <c r="E18" i="6"/>
  <c r="B8" i="6"/>
  <c r="C93" i="5"/>
  <c r="D82" i="5"/>
  <c r="E71" i="5"/>
  <c r="E63" i="5"/>
  <c r="D56" i="5"/>
  <c r="D49" i="5"/>
  <c r="C43" i="5"/>
  <c r="E37" i="5"/>
  <c r="D32" i="5"/>
  <c r="C27" i="5"/>
  <c r="E21" i="5"/>
  <c r="D16" i="5"/>
  <c r="C11" i="5"/>
  <c r="E104" i="4"/>
  <c r="D99" i="4"/>
  <c r="C94" i="4"/>
  <c r="C86" i="4"/>
  <c r="E80" i="4"/>
  <c r="D75" i="4"/>
  <c r="C70" i="4"/>
  <c r="E64" i="4"/>
  <c r="C58" i="4"/>
  <c r="E44" i="4"/>
  <c r="C30" i="4"/>
  <c r="C10" i="4"/>
  <c r="C147" i="2"/>
  <c r="D66" i="7"/>
  <c r="C45" i="7"/>
  <c r="E23" i="7"/>
  <c r="C9" i="7"/>
  <c r="E81" i="6"/>
  <c r="B71" i="6"/>
  <c r="D60" i="6"/>
  <c r="E49" i="6"/>
  <c r="B39" i="6"/>
  <c r="D28" i="6"/>
  <c r="E17" i="6"/>
  <c r="B7" i="6"/>
  <c r="C92" i="5"/>
  <c r="D81" i="5"/>
  <c r="E70" i="5"/>
  <c r="C63" i="5"/>
  <c r="C56" i="5"/>
  <c r="C49" i="5"/>
  <c r="E42" i="5"/>
  <c r="D37" i="5"/>
  <c r="C32" i="5"/>
  <c r="E26" i="5"/>
  <c r="D21" i="5"/>
  <c r="C16" i="5"/>
  <c r="E10" i="5"/>
  <c r="D104" i="4"/>
  <c r="C99" i="4"/>
  <c r="E93" i="4"/>
  <c r="D88" i="4"/>
  <c r="C83" i="4"/>
  <c r="E77" i="4"/>
  <c r="D72" i="4"/>
  <c r="D70" i="7"/>
  <c r="C49" i="7"/>
  <c r="E27" i="7"/>
  <c r="D11" i="7"/>
  <c r="B84" i="6"/>
  <c r="D73" i="6"/>
  <c r="E62" i="6"/>
  <c r="B52" i="6"/>
  <c r="D41" i="6"/>
  <c r="E30" i="6"/>
  <c r="B20" i="6"/>
  <c r="D9" i="6"/>
  <c r="D94" i="5"/>
  <c r="E83" i="5"/>
  <c r="C73" i="5"/>
  <c r="D64" i="5"/>
  <c r="D57" i="5"/>
  <c r="D50" i="5"/>
  <c r="E43" i="5"/>
  <c r="D38" i="5"/>
  <c r="C33" i="5"/>
  <c r="E27" i="5"/>
  <c r="D22" i="5"/>
  <c r="C17" i="5"/>
  <c r="E11" i="5"/>
  <c r="E105" i="4"/>
  <c r="C100" i="4"/>
  <c r="E94" i="4"/>
  <c r="D89" i="4"/>
  <c r="C84" i="4"/>
  <c r="E78" i="4"/>
  <c r="D73" i="4"/>
  <c r="C68" i="4"/>
  <c r="E62" i="4"/>
  <c r="D57" i="4"/>
  <c r="C52" i="4"/>
  <c r="E46" i="4"/>
  <c r="D41" i="4"/>
  <c r="C36" i="4"/>
  <c r="E30" i="4"/>
  <c r="D25" i="4"/>
  <c r="C20" i="4"/>
  <c r="E14" i="4"/>
  <c r="D9" i="4"/>
  <c r="D154" i="2"/>
  <c r="C149" i="2"/>
  <c r="B144" i="2"/>
  <c r="D138" i="2"/>
  <c r="C133" i="2"/>
  <c r="C128" i="2"/>
  <c r="C124" i="2"/>
  <c r="C120" i="2"/>
  <c r="C116" i="2"/>
  <c r="C112" i="2"/>
  <c r="C108" i="2"/>
  <c r="C104" i="2"/>
  <c r="C99" i="2"/>
  <c r="C95" i="2"/>
  <c r="C91" i="2"/>
  <c r="C87" i="2"/>
  <c r="C83" i="2"/>
  <c r="C79" i="2"/>
  <c r="C75" i="2"/>
  <c r="C71" i="2"/>
  <c r="C67" i="2"/>
  <c r="D41" i="9"/>
  <c r="C28" i="6"/>
  <c r="D130" i="7"/>
  <c r="E32" i="6"/>
  <c r="C26" i="8"/>
  <c r="B23" i="8"/>
  <c r="E53" i="7"/>
  <c r="E51" i="6"/>
  <c r="D75" i="5"/>
  <c r="B36" i="5"/>
  <c r="B103" i="4"/>
  <c r="B71" i="4"/>
  <c r="B39" i="4"/>
  <c r="B7" i="4"/>
  <c r="E63" i="7"/>
  <c r="E37" i="6"/>
  <c r="D60" i="5"/>
  <c r="E32" i="5"/>
  <c r="D11" i="5"/>
  <c r="C89" i="4"/>
  <c r="E67" i="4"/>
  <c r="C45" i="4"/>
  <c r="E19" i="4"/>
  <c r="B127" i="2"/>
  <c r="B98" i="2"/>
  <c r="B66" i="2"/>
  <c r="B36" i="2"/>
  <c r="D47" i="4"/>
  <c r="D62" i="7"/>
  <c r="B80" i="6"/>
  <c r="D37" i="6"/>
  <c r="D90" i="5"/>
  <c r="E54" i="5"/>
  <c r="C31" i="5"/>
  <c r="E9" i="5"/>
  <c r="E84" i="4"/>
  <c r="D63" i="4"/>
  <c r="D7" i="4"/>
  <c r="D18" i="7"/>
  <c r="E57" i="6"/>
  <c r="B15" i="6"/>
  <c r="D68" i="5"/>
  <c r="D41" i="5"/>
  <c r="C20" i="5"/>
  <c r="E97" i="4"/>
  <c r="D76" i="4"/>
  <c r="D22" i="7"/>
  <c r="E70" i="6"/>
  <c r="D49" i="6"/>
  <c r="B28" i="6"/>
  <c r="C2" i="6"/>
  <c r="C81" i="5"/>
  <c r="E62" i="5"/>
  <c r="D48" i="5"/>
  <c r="C37" i="5"/>
  <c r="D26" i="5"/>
  <c r="E15" i="5"/>
  <c r="C104" i="4"/>
  <c r="D93" i="4"/>
  <c r="E82" i="4"/>
  <c r="C72" i="4"/>
  <c r="D61" i="4"/>
  <c r="E50" i="4"/>
  <c r="C40" i="4"/>
  <c r="D29" i="4"/>
  <c r="E18" i="4"/>
  <c r="C8" i="4"/>
  <c r="B148" i="2"/>
  <c r="C137" i="2"/>
  <c r="C127" i="2"/>
  <c r="C119" i="2"/>
  <c r="C111" i="2"/>
  <c r="C103" i="2"/>
  <c r="C94" i="2"/>
  <c r="C86" i="2"/>
  <c r="C78" i="2"/>
  <c r="C70" i="2"/>
  <c r="C63" i="2"/>
  <c r="C58" i="2"/>
  <c r="C52" i="2"/>
  <c r="C47" i="2"/>
  <c r="C42" i="2"/>
  <c r="C36" i="2"/>
  <c r="C32" i="2"/>
  <c r="C28" i="2"/>
  <c r="D119" i="7"/>
  <c r="B92" i="5"/>
  <c r="D77" i="7"/>
  <c r="E85" i="5"/>
  <c r="D152" i="7"/>
  <c r="C152" i="7"/>
  <c r="D32" i="7"/>
  <c r="D30" i="6"/>
  <c r="E64" i="5"/>
  <c r="B28" i="5"/>
  <c r="B95" i="4"/>
  <c r="B63" i="4"/>
  <c r="B31" i="4"/>
  <c r="E149" i="2"/>
  <c r="C21" i="7"/>
  <c r="D16" i="6"/>
  <c r="E51" i="5"/>
  <c r="D27" i="5"/>
  <c r="D105" i="4"/>
  <c r="E83" i="4"/>
  <c r="D62" i="4"/>
  <c r="E39" i="4"/>
  <c r="C9" i="4"/>
  <c r="B120" i="2"/>
  <c r="B90" i="2"/>
  <c r="B58" i="2"/>
  <c r="B28" i="2"/>
  <c r="E24" i="4"/>
  <c r="C41" i="7"/>
  <c r="D69" i="6"/>
  <c r="E26" i="6"/>
  <c r="E79" i="5"/>
  <c r="E47" i="5"/>
  <c r="E25" i="5"/>
  <c r="D103" i="4"/>
  <c r="D79" i="4"/>
  <c r="D55" i="4"/>
  <c r="C143" i="2"/>
  <c r="E89" i="6"/>
  <c r="B47" i="6"/>
  <c r="C100" i="5"/>
  <c r="D61" i="5"/>
  <c r="C36" i="5"/>
  <c r="E14" i="5"/>
  <c r="D92" i="4"/>
  <c r="C71" i="4"/>
  <c r="E8" i="7"/>
  <c r="D65" i="6"/>
  <c r="B44" i="6"/>
  <c r="E22" i="6"/>
  <c r="C97" i="5"/>
  <c r="E75" i="5"/>
  <c r="C59" i="5"/>
  <c r="C45" i="5"/>
  <c r="D34" i="5"/>
  <c r="E23" i="5"/>
  <c r="C13" i="5"/>
  <c r="D101" i="4"/>
  <c r="E90" i="4"/>
  <c r="C80" i="4"/>
  <c r="D69" i="4"/>
  <c r="E58" i="4"/>
  <c r="C48" i="4"/>
  <c r="D37" i="4"/>
  <c r="E26" i="4"/>
  <c r="C16" i="4"/>
  <c r="B156" i="2"/>
  <c r="C145" i="2"/>
  <c r="D134" i="2"/>
  <c r="C125" i="2"/>
  <c r="C117" i="2"/>
  <c r="C109" i="2"/>
  <c r="C100" i="2"/>
  <c r="C92" i="2"/>
  <c r="C84" i="2"/>
  <c r="C76" i="2"/>
  <c r="C68" i="2"/>
  <c r="C62" i="2"/>
  <c r="C56" i="2"/>
  <c r="C51" i="2"/>
  <c r="C46" i="2"/>
  <c r="C40" i="2"/>
  <c r="C35" i="2"/>
  <c r="C31" i="2"/>
  <c r="C27" i="2"/>
  <c r="C23" i="2"/>
  <c r="C19" i="2"/>
  <c r="C15" i="2"/>
  <c r="C11" i="2"/>
  <c r="C7" i="2"/>
  <c r="C21" i="4"/>
  <c r="D10" i="4"/>
  <c r="C150" i="2"/>
  <c r="C138" i="2"/>
  <c r="B129" i="2"/>
  <c r="B121" i="2"/>
  <c r="B114" i="2"/>
  <c r="B105" i="2"/>
  <c r="B93" i="2"/>
  <c r="B85" i="2"/>
  <c r="B77" i="2"/>
  <c r="B69" i="2"/>
  <c r="B61" i="2"/>
  <c r="B52" i="2"/>
  <c r="B43" i="2"/>
  <c r="B35" i="2"/>
  <c r="B22" i="7"/>
  <c r="B60" i="5"/>
  <c r="E34" i="7"/>
  <c r="C183" i="7"/>
  <c r="B96" i="7"/>
  <c r="B115" i="7"/>
  <c r="C11" i="7"/>
  <c r="B9" i="6"/>
  <c r="C54" i="5"/>
  <c r="B20" i="5"/>
  <c r="B87" i="4"/>
  <c r="B55" i="4"/>
  <c r="B23" i="4"/>
  <c r="E141" i="2"/>
  <c r="D80" i="6"/>
  <c r="E90" i="5"/>
  <c r="D43" i="5"/>
  <c r="C22" i="5"/>
  <c r="E99" i="4"/>
  <c r="D78" i="4"/>
  <c r="C57" i="4"/>
  <c r="D34" i="4"/>
  <c r="B149" i="2"/>
  <c r="B111" i="2"/>
  <c r="B82" i="2"/>
  <c r="B51" i="2"/>
  <c r="B19" i="2"/>
  <c r="E12" i="4"/>
  <c r="E19" i="7"/>
  <c r="E58" i="6"/>
  <c r="B16" i="6"/>
  <c r="C69" i="5"/>
  <c r="E41" i="5"/>
  <c r="D20" i="5"/>
  <c r="C98" i="4"/>
  <c r="C74" i="4"/>
  <c r="E40" i="4"/>
  <c r="C61" i="7"/>
  <c r="B79" i="6"/>
  <c r="D36" i="6"/>
  <c r="D89" i="5"/>
  <c r="D54" i="5"/>
  <c r="E30" i="5"/>
  <c r="D9" i="5"/>
  <c r="C87" i="4"/>
  <c r="C65" i="7"/>
  <c r="D81" i="6"/>
  <c r="B60" i="6"/>
  <c r="E38" i="6"/>
  <c r="D17" i="6"/>
  <c r="E91" i="5"/>
  <c r="D70" i="5"/>
  <c r="E55" i="5"/>
  <c r="D42" i="5"/>
  <c r="E31" i="5"/>
  <c r="C21" i="5"/>
  <c r="D10" i="5"/>
  <c r="E98" i="4"/>
  <c r="C88" i="4"/>
  <c r="D77" i="4"/>
  <c r="E66" i="4"/>
  <c r="C56" i="4"/>
  <c r="D45" i="4"/>
  <c r="E34" i="4"/>
  <c r="C24" i="4"/>
  <c r="D13" i="4"/>
  <c r="C153" i="2"/>
  <c r="D142" i="2"/>
  <c r="B132" i="2"/>
  <c r="C123" i="2"/>
  <c r="C115" i="2"/>
  <c r="C107" i="2"/>
  <c r="C98" i="2"/>
  <c r="C90" i="2"/>
  <c r="C82" i="2"/>
  <c r="C74" i="2"/>
  <c r="C66" i="2"/>
  <c r="C60" i="2"/>
  <c r="C55" i="2"/>
  <c r="C50" i="2"/>
  <c r="C44" i="2"/>
  <c r="C39" i="2"/>
  <c r="C34" i="2"/>
  <c r="C30" i="2"/>
  <c r="C26" i="2"/>
  <c r="C22" i="2"/>
  <c r="C18" i="2"/>
  <c r="C14" i="2"/>
  <c r="C10" i="2"/>
  <c r="D46" i="4"/>
  <c r="D18" i="4"/>
  <c r="E7" i="4"/>
  <c r="D147" i="2"/>
  <c r="D135" i="2"/>
  <c r="B128" i="2"/>
  <c r="B119" i="2"/>
  <c r="B112" i="2"/>
  <c r="B99" i="2"/>
  <c r="B91" i="2"/>
  <c r="B83" i="2"/>
  <c r="B75" i="2"/>
  <c r="B67" i="2"/>
  <c r="B59" i="2"/>
  <c r="B49" i="2"/>
  <c r="B41" i="2"/>
  <c r="B34" i="2"/>
  <c r="B25" i="2"/>
  <c r="B18" i="2"/>
  <c r="B10" i="2"/>
  <c r="E56" i="4"/>
  <c r="C46" i="4"/>
  <c r="D35" i="4"/>
  <c r="C18" i="4"/>
  <c r="D156" i="2"/>
  <c r="D68" i="4"/>
  <c r="C47" i="4"/>
  <c r="E25" i="4"/>
  <c r="C156" i="2"/>
  <c r="B139" i="2"/>
  <c r="D128" i="2"/>
  <c r="D120" i="2"/>
  <c r="D112" i="2"/>
  <c r="D104" i="2"/>
  <c r="D94" i="2"/>
  <c r="D86" i="2"/>
  <c r="D78" i="2"/>
  <c r="D70" i="2"/>
  <c r="D62" i="2"/>
  <c r="D54" i="2"/>
  <c r="D46" i="2"/>
  <c r="D38" i="2"/>
  <c r="D30" i="2"/>
  <c r="D12" i="2"/>
  <c r="E45" i="4"/>
  <c r="D24" i="4"/>
  <c r="B155" i="2"/>
  <c r="B138" i="2"/>
  <c r="E127" i="2"/>
  <c r="E117" i="2"/>
  <c r="E105" i="2"/>
  <c r="E87" i="2"/>
  <c r="E71" i="2"/>
  <c r="E53" i="2"/>
  <c r="E37" i="2"/>
  <c r="E21" i="2"/>
  <c r="C55" i="4"/>
  <c r="E33" i="4"/>
  <c r="D12" i="4"/>
  <c r="B135" i="2"/>
  <c r="D121" i="2"/>
  <c r="D103" i="2"/>
  <c r="D83" i="2"/>
  <c r="D65" i="2"/>
  <c r="D49" i="2"/>
  <c r="D27" i="2"/>
  <c r="D9" i="2"/>
  <c r="D64" i="4"/>
  <c r="C43" i="4"/>
  <c r="E21" i="4"/>
  <c r="B147" i="2"/>
  <c r="B134" i="2"/>
  <c r="E124" i="2"/>
  <c r="E116" i="2"/>
  <c r="E108" i="2"/>
  <c r="E98" i="2"/>
  <c r="E90" i="2"/>
  <c r="E82" i="2"/>
  <c r="E74" i="2"/>
  <c r="E66" i="2"/>
  <c r="E58" i="2"/>
  <c r="E50" i="2"/>
  <c r="E42" i="2"/>
  <c r="E34" i="2"/>
  <c r="E26" i="2"/>
  <c r="E18" i="2"/>
  <c r="E10" i="2"/>
  <c r="D22" i="2"/>
  <c r="D10" i="2"/>
  <c r="E113" i="2"/>
  <c r="E97" i="2"/>
  <c r="E81" i="2"/>
  <c r="E65" i="2"/>
  <c r="E49" i="2"/>
  <c r="E35" i="2"/>
  <c r="E19" i="2"/>
  <c r="E7" i="2"/>
  <c r="D137" i="2"/>
  <c r="D115" i="2"/>
  <c r="D101" i="2"/>
  <c r="D89" i="2"/>
  <c r="D75" i="2"/>
  <c r="D55" i="2"/>
  <c r="D39" i="2"/>
  <c r="D29" i="2"/>
  <c r="D7" i="2"/>
  <c r="C60" i="6"/>
  <c r="C187" i="7"/>
  <c r="D75" i="6"/>
  <c r="D126" i="7"/>
  <c r="D51" i="7"/>
  <c r="D80" i="7"/>
  <c r="B73" i="6"/>
  <c r="C86" i="5"/>
  <c r="B44" i="5"/>
  <c r="B12" i="5"/>
  <c r="B79" i="4"/>
  <c r="B47" i="4"/>
  <c r="B15" i="4"/>
  <c r="E133" i="2"/>
  <c r="B59" i="6"/>
  <c r="D69" i="5"/>
  <c r="C38" i="5"/>
  <c r="E16" i="5"/>
  <c r="D94" i="4"/>
  <c r="C73" i="4"/>
  <c r="E51" i="4"/>
  <c r="E27" i="4"/>
  <c r="D139" i="2"/>
  <c r="B104" i="2"/>
  <c r="B74" i="2"/>
  <c r="B44" i="2"/>
  <c r="B11" i="2"/>
  <c r="B146" i="2"/>
  <c r="D7" i="7"/>
  <c r="B48" i="6"/>
  <c r="C101" i="5"/>
  <c r="E61" i="5"/>
  <c r="D36" i="5"/>
  <c r="C15" i="5"/>
  <c r="E92" i="4"/>
  <c r="E68" i="4"/>
  <c r="C26" i="4"/>
  <c r="E39" i="7"/>
  <c r="D68" i="6"/>
  <c r="E25" i="6"/>
  <c r="E78" i="5"/>
  <c r="C47" i="5"/>
  <c r="D25" i="5"/>
  <c r="C103" i="4"/>
  <c r="E81" i="4"/>
  <c r="E43" i="7"/>
  <c r="B76" i="6"/>
  <c r="E54" i="6"/>
  <c r="D33" i="6"/>
  <c r="B12" i="6"/>
  <c r="D86" i="5"/>
  <c r="D66" i="5"/>
  <c r="C52" i="5"/>
  <c r="E39" i="5"/>
  <c r="C29" i="5"/>
  <c r="D18" i="5"/>
  <c r="E7" i="5"/>
  <c r="C96" i="4"/>
  <c r="D85" i="4"/>
  <c r="E74" i="4"/>
  <c r="C64" i="4"/>
  <c r="D21" i="4"/>
  <c r="C129" i="2"/>
  <c r="C96" i="2"/>
  <c r="C64" i="2"/>
  <c r="C43" i="2"/>
  <c r="C25" i="2"/>
  <c r="C17" i="2"/>
  <c r="C9" i="2"/>
  <c r="E15" i="4"/>
  <c r="B145" i="2"/>
  <c r="B125" i="2"/>
  <c r="B110" i="2"/>
  <c r="B89" i="2"/>
  <c r="B73" i="2"/>
  <c r="B56" i="2"/>
  <c r="B39" i="2"/>
  <c r="B27" i="2"/>
  <c r="B16" i="2"/>
  <c r="D91" i="4"/>
  <c r="C50" i="4"/>
  <c r="D31" i="4"/>
  <c r="D11" i="4"/>
  <c r="D144" i="2"/>
  <c r="E41" i="4"/>
  <c r="C15" i="4"/>
  <c r="D141" i="2"/>
  <c r="D126" i="2"/>
  <c r="D116" i="2"/>
  <c r="D106" i="2"/>
  <c r="D92" i="2"/>
  <c r="D82" i="2"/>
  <c r="D72" i="2"/>
  <c r="D60" i="2"/>
  <c r="D50" i="2"/>
  <c r="D40" i="2"/>
  <c r="D28" i="2"/>
  <c r="D56" i="4"/>
  <c r="E29" i="4"/>
  <c r="D149" i="2"/>
  <c r="D132" i="2"/>
  <c r="E119" i="2"/>
  <c r="E99" i="2"/>
  <c r="E79" i="2"/>
  <c r="E57" i="2"/>
  <c r="E33" i="2"/>
  <c r="E11" i="2"/>
  <c r="C39" i="4"/>
  <c r="D153" i="2"/>
  <c r="D127" i="2"/>
  <c r="D109" i="2"/>
  <c r="D79" i="2"/>
  <c r="D57" i="2"/>
  <c r="D35" i="2"/>
  <c r="D61" i="2"/>
  <c r="E53" i="4"/>
  <c r="C27" i="4"/>
  <c r="B142" i="2"/>
  <c r="E128" i="2"/>
  <c r="E118" i="2"/>
  <c r="E106" i="2"/>
  <c r="E94" i="2"/>
  <c r="E84" i="2"/>
  <c r="E72" i="2"/>
  <c r="E62" i="2"/>
  <c r="E52" i="2"/>
  <c r="E40" i="2"/>
  <c r="E30" i="2"/>
  <c r="E20" i="2"/>
  <c r="E8" i="2"/>
  <c r="D16" i="2"/>
  <c r="E125" i="2"/>
  <c r="E93" i="2"/>
  <c r="E73" i="2"/>
  <c r="E55" i="2"/>
  <c r="E31" i="2"/>
  <c r="E13" i="2"/>
  <c r="B143" i="2"/>
  <c r="D111" i="2"/>
  <c r="D95" i="2"/>
  <c r="D77" i="2"/>
  <c r="D51" i="2"/>
  <c r="D33" i="2"/>
  <c r="D15" i="2"/>
  <c r="D53" i="4"/>
  <c r="C38" i="2"/>
  <c r="C16" i="2"/>
  <c r="B88" i="2"/>
  <c r="B54" i="2"/>
  <c r="B37" i="2"/>
  <c r="B24" i="2"/>
  <c r="C62" i="4"/>
  <c r="D43" i="4"/>
  <c r="D27" i="4"/>
  <c r="C63" i="4"/>
  <c r="D36" i="4"/>
  <c r="C136" i="2"/>
  <c r="D114" i="2"/>
  <c r="D90" i="2"/>
  <c r="D80" i="2"/>
  <c r="D58" i="2"/>
  <c r="D48" i="2"/>
  <c r="D24" i="2"/>
  <c r="C51" i="4"/>
  <c r="C144" i="2"/>
  <c r="E115" i="2"/>
  <c r="E95" i="2"/>
  <c r="E51" i="2"/>
  <c r="E65" i="4"/>
  <c r="C148" i="2"/>
  <c r="D97" i="2"/>
  <c r="D53" i="2"/>
  <c r="D21" i="2"/>
  <c r="D48" i="4"/>
  <c r="C139" i="2"/>
  <c r="E114" i="2"/>
  <c r="E92" i="2"/>
  <c r="E80" i="2"/>
  <c r="E60" i="2"/>
  <c r="E38" i="2"/>
  <c r="E16" i="2"/>
  <c r="D14" i="2"/>
  <c r="E107" i="2"/>
  <c r="E69" i="2"/>
  <c r="E45" i="2"/>
  <c r="D93" i="2"/>
  <c r="D31" i="2"/>
  <c r="D59" i="2"/>
  <c r="E110" i="2"/>
  <c r="E64" i="2"/>
  <c r="E54" i="2"/>
  <c r="E22" i="2"/>
  <c r="E12" i="2"/>
  <c r="E101" i="2"/>
  <c r="E59" i="2"/>
  <c r="C7" i="4"/>
  <c r="D99" i="2"/>
  <c r="D37" i="2"/>
  <c r="E10" i="4"/>
  <c r="C121" i="2"/>
  <c r="C88" i="2"/>
  <c r="C59" i="2"/>
  <c r="C24" i="2"/>
  <c r="C8" i="2"/>
  <c r="C13" i="4"/>
  <c r="B141" i="2"/>
  <c r="B123" i="2"/>
  <c r="B107" i="2"/>
  <c r="B71" i="2"/>
  <c r="B14" i="2"/>
  <c r="E8" i="4"/>
  <c r="E9" i="4"/>
  <c r="D124" i="2"/>
  <c r="D100" i="2"/>
  <c r="D68" i="2"/>
  <c r="D36" i="2"/>
  <c r="C19" i="4"/>
  <c r="B130" i="2"/>
  <c r="E75" i="2"/>
  <c r="E29" i="2"/>
  <c r="D28" i="4"/>
  <c r="D125" i="2"/>
  <c r="D73" i="2"/>
  <c r="D23" i="2"/>
  <c r="D16" i="4"/>
  <c r="E126" i="2"/>
  <c r="E104" i="2"/>
  <c r="E70" i="2"/>
  <c r="E48" i="2"/>
  <c r="E28" i="2"/>
  <c r="C2" i="2"/>
  <c r="E89" i="2"/>
  <c r="E27" i="2"/>
  <c r="E9" i="2"/>
  <c r="D129" i="2"/>
  <c r="D107" i="2"/>
  <c r="D71" i="2"/>
  <c r="D47" i="2"/>
  <c r="D13" i="2"/>
  <c r="E120" i="2"/>
  <c r="E86" i="2"/>
  <c r="E44" i="2"/>
  <c r="D20" i="2"/>
  <c r="E77" i="2"/>
  <c r="E39" i="2"/>
  <c r="D119" i="2"/>
  <c r="D63" i="2"/>
  <c r="D19" i="2"/>
  <c r="E42" i="4"/>
  <c r="D150" i="2"/>
  <c r="C113" i="2"/>
  <c r="C80" i="2"/>
  <c r="C54" i="2"/>
  <c r="C33" i="2"/>
  <c r="C21" i="2"/>
  <c r="C13" i="2"/>
  <c r="C29" i="4"/>
  <c r="D155" i="2"/>
  <c r="B133" i="2"/>
  <c r="B118" i="2"/>
  <c r="B97" i="2"/>
  <c r="B81" i="2"/>
  <c r="B65" i="2"/>
  <c r="B48" i="2"/>
  <c r="B32" i="2"/>
  <c r="B22" i="2"/>
  <c r="B12" i="2"/>
  <c r="C54" i="4"/>
  <c r="C42" i="4"/>
  <c r="D23" i="4"/>
  <c r="B154" i="2"/>
  <c r="E57" i="4"/>
  <c r="C31" i="4"/>
  <c r="B151" i="2"/>
  <c r="D133" i="2"/>
  <c r="D122" i="2"/>
  <c r="D110" i="2"/>
  <c r="D98" i="2"/>
  <c r="D88" i="2"/>
  <c r="D76" i="2"/>
  <c r="D66" i="2"/>
  <c r="D56" i="2"/>
  <c r="D44" i="2"/>
  <c r="D34" i="2"/>
  <c r="D18" i="2"/>
  <c r="D40" i="4"/>
  <c r="E13" i="4"/>
  <c r="D140" i="2"/>
  <c r="E123" i="2"/>
  <c r="E111" i="2"/>
  <c r="E91" i="2"/>
  <c r="E67" i="2"/>
  <c r="E47" i="2"/>
  <c r="E25" i="2"/>
  <c r="E49" i="4"/>
  <c r="C23" i="4"/>
  <c r="C140" i="2"/>
  <c r="D117" i="2"/>
  <c r="D91" i="2"/>
  <c r="D69" i="2"/>
  <c r="D45" i="2"/>
  <c r="D17" i="2"/>
  <c r="D11" i="2"/>
  <c r="E37" i="4"/>
  <c r="C11" i="4"/>
  <c r="D136" i="2"/>
  <c r="E122" i="2"/>
  <c r="E112" i="2"/>
  <c r="E100" i="2"/>
  <c r="E88" i="2"/>
  <c r="E78" i="2"/>
  <c r="E68" i="2"/>
  <c r="E56" i="2"/>
  <c r="E46" i="2"/>
  <c r="E36" i="2"/>
  <c r="E24" i="2"/>
  <c r="E14" i="2"/>
  <c r="D26" i="2"/>
  <c r="D8" i="2"/>
  <c r="E103" i="2"/>
  <c r="E85" i="2"/>
  <c r="E61" i="2"/>
  <c r="E41" i="2"/>
  <c r="E23" i="2"/>
  <c r="D60" i="4"/>
  <c r="D123" i="2"/>
  <c r="D105" i="2"/>
  <c r="D85" i="2"/>
  <c r="D67" i="2"/>
  <c r="D43" i="2"/>
  <c r="D25" i="2"/>
  <c r="C32" i="4"/>
  <c r="B140" i="2"/>
  <c r="C105" i="2"/>
  <c r="C72" i="2"/>
  <c r="C48" i="2"/>
  <c r="C29" i="2"/>
  <c r="C20" i="2"/>
  <c r="C12" i="2"/>
  <c r="E23" i="4"/>
  <c r="B153" i="2"/>
  <c r="D131" i="2"/>
  <c r="B116" i="2"/>
  <c r="B95" i="2"/>
  <c r="B79" i="2"/>
  <c r="B63" i="2"/>
  <c r="B46" i="2"/>
  <c r="B29" i="2"/>
  <c r="B20" i="2"/>
  <c r="B8" i="2"/>
  <c r="D51" i="4"/>
  <c r="D39" i="4"/>
  <c r="D15" i="4"/>
  <c r="B150" i="2"/>
  <c r="D52" i="4"/>
  <c r="D20" i="4"/>
  <c r="D145" i="2"/>
  <c r="B131" i="2"/>
  <c r="D118" i="2"/>
  <c r="D108" i="2"/>
  <c r="D96" i="2"/>
  <c r="D84" i="2"/>
  <c r="D74" i="2"/>
  <c r="D64" i="2"/>
  <c r="D52" i="2"/>
  <c r="D42" i="2"/>
  <c r="D32" i="2"/>
  <c r="E61" i="4"/>
  <c r="C35" i="4"/>
  <c r="D8" i="4"/>
  <c r="C135" i="2"/>
  <c r="E121" i="2"/>
  <c r="E109" i="2"/>
  <c r="E83" i="2"/>
  <c r="E63" i="2"/>
  <c r="E43" i="2"/>
  <c r="E17" i="2"/>
  <c r="D44" i="4"/>
  <c r="E17" i="4"/>
  <c r="C132" i="2"/>
  <c r="D113" i="2"/>
  <c r="D87" i="2"/>
  <c r="D41" i="2"/>
  <c r="C59" i="4"/>
  <c r="D32" i="4"/>
  <c r="C152" i="2"/>
  <c r="C131" i="2"/>
  <c r="E96" i="2"/>
  <c r="E76" i="2"/>
  <c r="E32" i="2"/>
  <c r="C67" i="4"/>
  <c r="E15" i="2"/>
  <c r="D81" i="2"/>
</calcChain>
</file>

<file path=xl/sharedStrings.xml><?xml version="1.0" encoding="utf-8"?>
<sst xmlns="http://schemas.openxmlformats.org/spreadsheetml/2006/main" count="5922" uniqueCount="798">
  <si>
    <r>
      <rPr>
        <b/>
        <sz val="11"/>
        <color rgb="FF38761D"/>
        <rFont val="Calibri"/>
        <family val="2"/>
        <charset val="204"/>
      </rPr>
      <t xml:space="preserve">Внизу не редактировать,
</t>
    </r>
    <r>
      <rPr>
        <b/>
        <i/>
        <sz val="11"/>
        <color rgb="FF38761D"/>
        <rFont val="Calibri"/>
        <family val="2"/>
        <charset val="204"/>
      </rPr>
      <t>всё появляется автоматически</t>
    </r>
  </si>
  <si>
    <t>Сортировка автоматически</t>
  </si>
  <si>
    <t>Шевелева Я.С.</t>
  </si>
  <si>
    <t>Информация на</t>
  </si>
  <si>
    <t>ВЕТ</t>
  </si>
  <si>
    <t>копия</t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</si>
  <si>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</si>
  <si>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t>Группа СП-1
Специальность 35.02.12
Садово-парковое и ландшафтное строительство</t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</si>
  <si>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</si>
  <si>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411 Группа
Специальность 36.02.01 Ветеринария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</si>
  <si>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t>3.26</t>
  </si>
  <si>
    <t>МСР</t>
  </si>
  <si>
    <t>Коровина Е.С.</t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</si>
  <si>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</si>
  <si>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</si>
  <si>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t>Ветошкина О.В.</t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</si>
  <si>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</si>
  <si>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</si>
  <si>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t>Ладанов П.В.</t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</si>
  <si>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</si>
  <si>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</si>
  <si>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</si>
  <si>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t>Забоева И.В.</t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</si>
  <si>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</si>
  <si>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</si>
  <si>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</si>
  <si>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t>Чурсина Е.Е.</t>
  </si>
  <si>
    <r>
      <rPr>
        <b/>
        <sz val="12"/>
        <color rgb="FF1C4587"/>
        <rFont val="Calibri"/>
        <family val="2"/>
        <charset val="204"/>
      </rPr>
      <t xml:space="preserve">Группа ШАБЛ-1 Специальность  00.00.0  Домоводство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</si>
  <si>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t>Попова А.Е.</t>
  </si>
  <si>
    <t>Ежова Л.Э.</t>
  </si>
  <si>
    <t>СП</t>
  </si>
  <si>
    <t>Алимова Е.И</t>
  </si>
  <si>
    <t>Коротышева Л.А.</t>
  </si>
  <si>
    <t>Хусаинова О.Р.</t>
  </si>
  <si>
    <t>Чуркина Д.А.</t>
  </si>
  <si>
    <t>оригинал</t>
  </si>
  <si>
    <t>Таранова А.С.</t>
  </si>
  <si>
    <t>Чуркина Д.</t>
  </si>
  <si>
    <t>ВЕТЛАБ</t>
  </si>
  <si>
    <t xml:space="preserve">оригинал </t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</si>
  <si>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</si>
  <si>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t>Вахнина А.Д.</t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</si>
  <si>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</si>
  <si>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t>Панюкова Ю.А.</t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</si>
  <si>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</si>
  <si>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</si>
  <si>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t>Мартыненко П.В.</t>
  </si>
  <si>
    <t xml:space="preserve">Старцева Е. </t>
  </si>
  <si>
    <t>ПК</t>
  </si>
  <si>
    <t>Попова К.Е.</t>
  </si>
  <si>
    <t>Фасхуддинова К.</t>
  </si>
  <si>
    <t>Мельничук Е.В.</t>
  </si>
  <si>
    <t>Перцева В.А.</t>
  </si>
  <si>
    <t>Катюха К.И</t>
  </si>
  <si>
    <t>Соколова К.Г.</t>
  </si>
  <si>
    <t>Кудашкина К.Е.</t>
  </si>
  <si>
    <t>Петечела П.Д.</t>
  </si>
  <si>
    <t>Камаров А.</t>
  </si>
  <si>
    <t>ЭКС</t>
  </si>
  <si>
    <t>Перцева В. А.</t>
  </si>
  <si>
    <t>Рябоконь А. Ф.</t>
  </si>
  <si>
    <t>Моисеева Е.А.</t>
  </si>
  <si>
    <t>Касева О.А.</t>
  </si>
  <si>
    <t>Моисеева Е.</t>
  </si>
  <si>
    <t>Алексеева А.В.</t>
  </si>
  <si>
    <t>Михайличенко Е. А.</t>
  </si>
  <si>
    <t>Ципирева М.М.</t>
  </si>
  <si>
    <t>Красова В.В.</t>
  </si>
  <si>
    <t>Удоратина Л.</t>
  </si>
  <si>
    <t>Кобзева М.А.</t>
  </si>
  <si>
    <t>Соколова К.</t>
  </si>
  <si>
    <t>МА</t>
  </si>
  <si>
    <t>Григорьева М.Е.</t>
  </si>
  <si>
    <t>Лушкина С. А.</t>
  </si>
  <si>
    <t>Уляшев Б.А.</t>
  </si>
  <si>
    <t>Галева Д.Е.</t>
  </si>
  <si>
    <t>Сухарева Д.Д.</t>
  </si>
  <si>
    <t>Галева Д.</t>
  </si>
  <si>
    <t>Колипова Л.А.</t>
  </si>
  <si>
    <t>Галева Д. Е.</t>
  </si>
  <si>
    <t>Тоинов А.В.</t>
  </si>
  <si>
    <t>Забоева М.А.</t>
  </si>
  <si>
    <t>Чебан А.</t>
  </si>
  <si>
    <t>Кутепова Д.В.</t>
  </si>
  <si>
    <t>Копылова П.А.</t>
  </si>
  <si>
    <t>Елькина С.О.</t>
  </si>
  <si>
    <t>Копылова П. А.</t>
  </si>
  <si>
    <t>Дудра Е.А.</t>
  </si>
  <si>
    <t>Рогова М.В.</t>
  </si>
  <si>
    <t>Кравченко Е. А.</t>
  </si>
  <si>
    <t>Ташлыкова Л.К</t>
  </si>
  <si>
    <t>Терентьева Т.Р.</t>
  </si>
  <si>
    <t>Шпулинг А.А.</t>
  </si>
  <si>
    <t>Николаева В.</t>
  </si>
  <si>
    <t>Смирнов А.В.</t>
  </si>
  <si>
    <t>Терентьев Н.</t>
  </si>
  <si>
    <t>Мелешева В.С.</t>
  </si>
  <si>
    <t>Терентьева Т.</t>
  </si>
  <si>
    <t>Ивашнева А.Р.</t>
  </si>
  <si>
    <t>Пигулина В.А.</t>
  </si>
  <si>
    <t>Ипатова А.Н.</t>
  </si>
  <si>
    <t>Попов Д.</t>
  </si>
  <si>
    <t>МСХП</t>
  </si>
  <si>
    <t>Афонина А. С.</t>
  </si>
  <si>
    <t>Голышева К.А.</t>
  </si>
  <si>
    <t>Чувьюрова Е.С.</t>
  </si>
  <si>
    <t>Монанков Д.С.</t>
  </si>
  <si>
    <t>Горюнова В.</t>
  </si>
  <si>
    <t>Момотова В.Е.</t>
  </si>
  <si>
    <t xml:space="preserve">Рочева К. </t>
  </si>
  <si>
    <t>Гулынин Д.Д.</t>
  </si>
  <si>
    <t>Рочева К. Ю.</t>
  </si>
  <si>
    <t>Денисов В.В.</t>
  </si>
  <si>
    <t>Сокерина И.С.</t>
  </si>
  <si>
    <t>Забоева М. А.</t>
  </si>
  <si>
    <t>Игнатова Э.Д.</t>
  </si>
  <si>
    <t>Аникьева Л.А.</t>
  </si>
  <si>
    <t>Леонова А. А.</t>
  </si>
  <si>
    <t>Осипова Е. А.</t>
  </si>
  <si>
    <t>Малкова Я.Д.</t>
  </si>
  <si>
    <t>Рассыхаева Д.М.</t>
  </si>
  <si>
    <t>Боброва К.</t>
  </si>
  <si>
    <t>Шахова А.А.</t>
  </si>
  <si>
    <t>Пинягин К.</t>
  </si>
  <si>
    <t>Зыбина А.Е.</t>
  </si>
  <si>
    <t>Жадан В.</t>
  </si>
  <si>
    <t>Попов Р.В.</t>
  </si>
  <si>
    <t xml:space="preserve">Боброва Д. </t>
  </si>
  <si>
    <t>Дюлгерова А.Р.</t>
  </si>
  <si>
    <t>Фазилова В.</t>
  </si>
  <si>
    <t>Кочанова Н.С.</t>
  </si>
  <si>
    <t>Есева В.</t>
  </si>
  <si>
    <t>Семенова А.О.</t>
  </si>
  <si>
    <t>Лещикова Д.С.</t>
  </si>
  <si>
    <t>Баратова С. Ф.</t>
  </si>
  <si>
    <t>Фролова Е.Д.</t>
  </si>
  <si>
    <t>Высоцкая Д. Ю.</t>
  </si>
  <si>
    <t>Имеле Сабрина Ч М</t>
  </si>
  <si>
    <t>Высоцкая Д.Ю.</t>
  </si>
  <si>
    <t>Ясютина К.Е.</t>
  </si>
  <si>
    <t>Барахова Д.М</t>
  </si>
  <si>
    <t>Мазурчик А.Д.</t>
  </si>
  <si>
    <t>Напалкова В. С.</t>
  </si>
  <si>
    <t>Соловей А.С.</t>
  </si>
  <si>
    <t>Долгова Ю.О.</t>
  </si>
  <si>
    <t>Куликова Д.С.</t>
  </si>
  <si>
    <t>Вирясова П.</t>
  </si>
  <si>
    <t>Литвиненко И.Д.</t>
  </si>
  <si>
    <t>Долгова Ю. О.</t>
  </si>
  <si>
    <t>Рассыхаева К.Е.</t>
  </si>
  <si>
    <t>Щербакова А. Е.</t>
  </si>
  <si>
    <t>Ремейкис М.В.</t>
  </si>
  <si>
    <t>Латкин В.</t>
  </si>
  <si>
    <t>Афаносенкова А.А.</t>
  </si>
  <si>
    <t>Дуркин И.</t>
  </si>
  <si>
    <t>Дадуткина Э.Д.</t>
  </si>
  <si>
    <t>Лыткина В.М.</t>
  </si>
  <si>
    <t>Опак А.</t>
  </si>
  <si>
    <t>Зубова Д.Ю.</t>
  </si>
  <si>
    <t>Опря Л.Р.</t>
  </si>
  <si>
    <t>Пильщик О.М.</t>
  </si>
  <si>
    <t>Бабиков И.</t>
  </si>
  <si>
    <t>Леденцов С.А.</t>
  </si>
  <si>
    <t>Фасхутдинова К.</t>
  </si>
  <si>
    <t>Носкова Д.П.</t>
  </si>
  <si>
    <t>Попов Р.</t>
  </si>
  <si>
    <t>Кузнецова М.С.</t>
  </si>
  <si>
    <t>Лабецкая В.В.</t>
  </si>
  <si>
    <t>Голенкова А.О.</t>
  </si>
  <si>
    <t>Юрченко Д.С.</t>
  </si>
  <si>
    <t>Соколова Э.</t>
  </si>
  <si>
    <t>Кетова М</t>
  </si>
  <si>
    <t>Рочева О.В.</t>
  </si>
  <si>
    <t xml:space="preserve">Голенкова А. </t>
  </si>
  <si>
    <t>Настасина К.А.</t>
  </si>
  <si>
    <t>Гуменюк Р. Н.</t>
  </si>
  <si>
    <t>Фадеева К.В.</t>
  </si>
  <si>
    <t>Кетова М. В.</t>
  </si>
  <si>
    <t>Минина А.И.</t>
  </si>
  <si>
    <t>Коровина Н.Д.</t>
  </si>
  <si>
    <t>Ковалева А.А.</t>
  </si>
  <si>
    <t>Габов А.Н.</t>
  </si>
  <si>
    <t>Выборова А.А.</t>
  </si>
  <si>
    <t xml:space="preserve">Габов А. </t>
  </si>
  <si>
    <t>Силина О.С.</t>
  </si>
  <si>
    <t>Габов А.</t>
  </si>
  <si>
    <t>Городова О.К.</t>
  </si>
  <si>
    <t>Габова Н. В.</t>
  </si>
  <si>
    <t>Шарапова А.А.</t>
  </si>
  <si>
    <t>Потолицина С.Р.</t>
  </si>
  <si>
    <t>Ботнарь К.Н.</t>
  </si>
  <si>
    <t>Избюров К</t>
  </si>
  <si>
    <t>Карманова Е.Н.</t>
  </si>
  <si>
    <t>Кукольщикова А.</t>
  </si>
  <si>
    <t>Крутова А.В.</t>
  </si>
  <si>
    <t>Ожиганова А.</t>
  </si>
  <si>
    <t>Солдатенко В.Д.</t>
  </si>
  <si>
    <t>Тюник А. Ю.</t>
  </si>
  <si>
    <t>Забоева В. П.</t>
  </si>
  <si>
    <t>Цуманкова А.Е.</t>
  </si>
  <si>
    <t>Павлова К.П.</t>
  </si>
  <si>
    <t>Муравьева Э.Е.</t>
  </si>
  <si>
    <t>Эрлих Е.А.</t>
  </si>
  <si>
    <t>Ципиреева М.</t>
  </si>
  <si>
    <t>Рогова М.</t>
  </si>
  <si>
    <t>Черниговец П.А.</t>
  </si>
  <si>
    <t>Момотова В.</t>
  </si>
  <si>
    <t>Суранова Е.А.</t>
  </si>
  <si>
    <t>Чеботарь К.</t>
  </si>
  <si>
    <t>Смирнова А.А.</t>
  </si>
  <si>
    <t>Попова Е.А.</t>
  </si>
  <si>
    <t>Варчак В. С.</t>
  </si>
  <si>
    <t>Попов А.А.</t>
  </si>
  <si>
    <t>Волкова Д.А.</t>
  </si>
  <si>
    <t>Попова Д.О.</t>
  </si>
  <si>
    <t>Наймушин Д.А.</t>
  </si>
  <si>
    <t>Карманов Е.С</t>
  </si>
  <si>
    <t>Кузнецова А.Д.</t>
  </si>
  <si>
    <t>Шадрин Я.А.</t>
  </si>
  <si>
    <t xml:space="preserve">Колипова Л.  </t>
  </si>
  <si>
    <t>Федосова А.А.</t>
  </si>
  <si>
    <t>Кудашкина К.</t>
  </si>
  <si>
    <t>Южина И.Б.</t>
  </si>
  <si>
    <t>Понаморенко 
 К.</t>
  </si>
  <si>
    <t>Семяшкина В.С</t>
  </si>
  <si>
    <t>Попов А.</t>
  </si>
  <si>
    <t>Пунегова К.А.</t>
  </si>
  <si>
    <t>Пешкин Я.</t>
  </si>
  <si>
    <t>Калтайс А.С.</t>
  </si>
  <si>
    <t>Минин К.</t>
  </si>
  <si>
    <t>Попова В.Н.</t>
  </si>
  <si>
    <t>Яблонский Н.</t>
  </si>
  <si>
    <t>Сердитов Д.В.</t>
  </si>
  <si>
    <t>Шостака Д.</t>
  </si>
  <si>
    <t>Мелехина В.Н.</t>
  </si>
  <si>
    <t>Колипова Л.</t>
  </si>
  <si>
    <t>Денисов В</t>
  </si>
  <si>
    <t>Игнатов С.</t>
  </si>
  <si>
    <t>Молодовская М.П.</t>
  </si>
  <si>
    <t>Рябова Д.А.</t>
  </si>
  <si>
    <t>Соболева А.А.</t>
  </si>
  <si>
    <t>Попов А. А.</t>
  </si>
  <si>
    <t>Харитонова К.В.</t>
  </si>
  <si>
    <t>Терентьев А. А.</t>
  </si>
  <si>
    <t>Шудрич Д.Г.</t>
  </si>
  <si>
    <t>Терентьев А.А.</t>
  </si>
  <si>
    <t>Чеусова А.А.</t>
  </si>
  <si>
    <t>Тереньтев А.А.</t>
  </si>
  <si>
    <t>Павлюшина Е.</t>
  </si>
  <si>
    <t>Ульянова А.</t>
  </si>
  <si>
    <t>Митяшина Д.</t>
  </si>
  <si>
    <t>Даденко Д.</t>
  </si>
  <si>
    <t>Шевелева Я.</t>
  </si>
  <si>
    <t>Терентьева М.</t>
  </si>
  <si>
    <t>Юдина А.</t>
  </si>
  <si>
    <t>Лобанова В.</t>
  </si>
  <si>
    <t>Пеленвин А.</t>
  </si>
  <si>
    <t>Прокудина В.</t>
  </si>
  <si>
    <t>Ледкова Д.</t>
  </si>
  <si>
    <t>Петров А.</t>
  </si>
  <si>
    <t>Старцев Я.</t>
  </si>
  <si>
    <t xml:space="preserve">Чурсина Е. </t>
  </si>
  <si>
    <t>Баскова Е</t>
  </si>
  <si>
    <t>Тоинов А.</t>
  </si>
  <si>
    <t>Литовченко</t>
  </si>
  <si>
    <t>Уляшев Б.</t>
  </si>
  <si>
    <t>Каменцева С.</t>
  </si>
  <si>
    <t>Уляшев Б. А.</t>
  </si>
  <si>
    <t>Бережная А.</t>
  </si>
  <si>
    <t>Пыстина М.К.</t>
  </si>
  <si>
    <t xml:space="preserve">Таранова А. </t>
  </si>
  <si>
    <t>Размыслова В. В.</t>
  </si>
  <si>
    <t xml:space="preserve">Вахнина А.  </t>
  </si>
  <si>
    <t xml:space="preserve">Козлова М. </t>
  </si>
  <si>
    <t>Кириллова С.</t>
  </si>
  <si>
    <t>Кузнецова Э.</t>
  </si>
  <si>
    <t>Плёнкина А.В.</t>
  </si>
  <si>
    <t>Езимова Л.</t>
  </si>
  <si>
    <t xml:space="preserve">Попова К </t>
  </si>
  <si>
    <t>Имеле С.</t>
  </si>
  <si>
    <t>Фатеев А.</t>
  </si>
  <si>
    <t>Перевезенцев С.</t>
  </si>
  <si>
    <t>Чеботарь К. С.</t>
  </si>
  <si>
    <t>Кожевина Л.</t>
  </si>
  <si>
    <t>Фролова А.А.</t>
  </si>
  <si>
    <t xml:space="preserve">Колипова Э.  </t>
  </si>
  <si>
    <t>Панов В.</t>
  </si>
  <si>
    <t>Шахова С.</t>
  </si>
  <si>
    <t>Антон Е.</t>
  </si>
  <si>
    <t xml:space="preserve">Шпулинг А. </t>
  </si>
  <si>
    <t>Старцева В.</t>
  </si>
  <si>
    <t>Сажин Д.</t>
  </si>
  <si>
    <t>Кошеев Т.</t>
  </si>
  <si>
    <t>Комарова Н.</t>
  </si>
  <si>
    <t>Тоноян Г.</t>
  </si>
  <si>
    <t>Торлопова А.</t>
  </si>
  <si>
    <t>Чеботинка К.</t>
  </si>
  <si>
    <t>Малкова Я.</t>
  </si>
  <si>
    <t>Бончковский Д.</t>
  </si>
  <si>
    <t>Дадуткина Э.</t>
  </si>
  <si>
    <t>Тришина С.А.</t>
  </si>
  <si>
    <t>Малкова Я. Д.</t>
  </si>
  <si>
    <t>Забоева Д.</t>
  </si>
  <si>
    <t>Морозова О.Д.</t>
  </si>
  <si>
    <t>Торлопова А. С.</t>
  </si>
  <si>
    <t>Ивашева Л.</t>
  </si>
  <si>
    <t>Жадяева У</t>
  </si>
  <si>
    <t>Бурая Д.</t>
  </si>
  <si>
    <t xml:space="preserve">Гулынин Д. </t>
  </si>
  <si>
    <t>Юрченко Д.</t>
  </si>
  <si>
    <t xml:space="preserve">Рассыхаева Д. </t>
  </si>
  <si>
    <t>Ракита А.Е.</t>
  </si>
  <si>
    <t xml:space="preserve">Попов Р. </t>
  </si>
  <si>
    <t>Брылякова Е. А.</t>
  </si>
  <si>
    <t>Гаранин И.</t>
  </si>
  <si>
    <t>Добровольская С. Д.</t>
  </si>
  <si>
    <t>Шахова В.</t>
  </si>
  <si>
    <t xml:space="preserve">Кочанова Н. </t>
  </si>
  <si>
    <t>Васькина Ю.</t>
  </si>
  <si>
    <t>Лузанова Е.</t>
  </si>
  <si>
    <t>Мымрик В.</t>
  </si>
  <si>
    <t>Брылякова Е.</t>
  </si>
  <si>
    <t>Колипова А.</t>
  </si>
  <si>
    <t xml:space="preserve">Павлова К. </t>
  </si>
  <si>
    <t>Акзамова В.</t>
  </si>
  <si>
    <t>Южаков Д.</t>
  </si>
  <si>
    <t>Томова М.</t>
  </si>
  <si>
    <t>Смирнов А.</t>
  </si>
  <si>
    <t>Протасова В.</t>
  </si>
  <si>
    <t>Кичигин Р.</t>
  </si>
  <si>
    <t>Костина В.</t>
  </si>
  <si>
    <t>Колыгина К.</t>
  </si>
  <si>
    <t>Рогожникова А.</t>
  </si>
  <si>
    <t>Павлова К.</t>
  </si>
  <si>
    <t xml:space="preserve">Литвиненко И. </t>
  </si>
  <si>
    <t>Рябова Д.</t>
  </si>
  <si>
    <t>Абдурахманова М.</t>
  </si>
  <si>
    <t>Прокушева С.</t>
  </si>
  <si>
    <t>Колыгина К.А.</t>
  </si>
  <si>
    <t>Есева С. Н.</t>
  </si>
  <si>
    <t>Ипатов Д. М.</t>
  </si>
  <si>
    <t>Есева С.Н.</t>
  </si>
  <si>
    <t>Молокова С.</t>
  </si>
  <si>
    <t>Вилежанинова В.</t>
  </si>
  <si>
    <t xml:space="preserve">Рассыхаева К. </t>
  </si>
  <si>
    <t>Матиенко А.</t>
  </si>
  <si>
    <t>Котманов Г.</t>
  </si>
  <si>
    <t>Юрьева А.</t>
  </si>
  <si>
    <t>Соловьев А.</t>
  </si>
  <si>
    <t>Уляшева Д.</t>
  </si>
  <si>
    <t>Таранова А.</t>
  </si>
  <si>
    <t>Пыльщик О.</t>
  </si>
  <si>
    <t>Южина И.</t>
  </si>
  <si>
    <t>Синавина А.</t>
  </si>
  <si>
    <t>Самойленко Я.</t>
  </si>
  <si>
    <t xml:space="preserve">Леденцов С. </t>
  </si>
  <si>
    <t>Соловьев А.А.</t>
  </si>
  <si>
    <t>Ибрагимова Д.</t>
  </si>
  <si>
    <t>Ясютина К. Е.</t>
  </si>
  <si>
    <t>Тимушева А.</t>
  </si>
  <si>
    <t>Кувакина У. А.</t>
  </si>
  <si>
    <t xml:space="preserve">Рочева О. </t>
  </si>
  <si>
    <t>Мартюшева К.</t>
  </si>
  <si>
    <t>Лебедев И. А.</t>
  </si>
  <si>
    <t>Клеопатров А.М.</t>
  </si>
  <si>
    <t>Игнатов В.</t>
  </si>
  <si>
    <t>Дуброва А.</t>
  </si>
  <si>
    <t xml:space="preserve">Карманов Е. </t>
  </si>
  <si>
    <t>Зюзев А.</t>
  </si>
  <si>
    <t>Карманов Е.</t>
  </si>
  <si>
    <t>Горбаченко М.</t>
  </si>
  <si>
    <t>Черниговец П.</t>
  </si>
  <si>
    <t>Карманов Е. С.</t>
  </si>
  <si>
    <t xml:space="preserve">Волкова Д. </t>
  </si>
  <si>
    <t>Филатов К. А.</t>
  </si>
  <si>
    <t>Потапенко О.</t>
  </si>
  <si>
    <t>Старцев А.</t>
  </si>
  <si>
    <t>Наймушина Э.</t>
  </si>
  <si>
    <t>Шиликовская Г.</t>
  </si>
  <si>
    <t>Супрядкина И.</t>
  </si>
  <si>
    <t>Галаган Д.</t>
  </si>
  <si>
    <t>Честных М.</t>
  </si>
  <si>
    <t>Булышев В.</t>
  </si>
  <si>
    <t>Гераскин К.</t>
  </si>
  <si>
    <t>Ракин Р.</t>
  </si>
  <si>
    <t>Мальцева В.</t>
  </si>
  <si>
    <t>Левченко И.</t>
  </si>
  <si>
    <t>Смудников М.</t>
  </si>
  <si>
    <t>Ветошкин Р.</t>
  </si>
  <si>
    <t>Понамарева А.</t>
  </si>
  <si>
    <t>Нестеров Н.</t>
  </si>
  <si>
    <t>Булышев З</t>
  </si>
  <si>
    <t>Рочев З.</t>
  </si>
  <si>
    <t>Малаков Е.</t>
  </si>
  <si>
    <t xml:space="preserve">Шарапова А.  </t>
  </si>
  <si>
    <t>Фадеева К.</t>
  </si>
  <si>
    <t xml:space="preserve">Крутова А. </t>
  </si>
  <si>
    <t xml:space="preserve">Солдатенко В. </t>
  </si>
  <si>
    <t>Карпова С. Н.</t>
  </si>
  <si>
    <t>Коновалова П.</t>
  </si>
  <si>
    <t>Фадеева К. В.</t>
  </si>
  <si>
    <t>Некрасова Ф</t>
  </si>
  <si>
    <t>Готовчиц В.М.</t>
  </si>
  <si>
    <t>Жижева Е.</t>
  </si>
  <si>
    <t>Готовчиц В. М.</t>
  </si>
  <si>
    <t>Кустышев Р.</t>
  </si>
  <si>
    <t>Мелехина В. Н.</t>
  </si>
  <si>
    <t xml:space="preserve">Цуманкова А. </t>
  </si>
  <si>
    <t>Валуев Е. Н.</t>
  </si>
  <si>
    <t>Доронина Е.</t>
  </si>
  <si>
    <t xml:space="preserve">Карманова Е. </t>
  </si>
  <si>
    <t>Размыслова Л.</t>
  </si>
  <si>
    <t>Платто В.</t>
  </si>
  <si>
    <t>Мухамедов К.</t>
  </si>
  <si>
    <t>Каштаев В.</t>
  </si>
  <si>
    <t>Подорова Е.</t>
  </si>
  <si>
    <t>Зыбина А.</t>
  </si>
  <si>
    <t>Кудрявцева П.</t>
  </si>
  <si>
    <t>Мамонтов Д. В.</t>
  </si>
  <si>
    <t>Смирнов Д.</t>
  </si>
  <si>
    <t>Торлопов А.</t>
  </si>
  <si>
    <t>Разумова Е.</t>
  </si>
  <si>
    <t>Назаров Д.</t>
  </si>
  <si>
    <t>Бурнашов М.</t>
  </si>
  <si>
    <t xml:space="preserve">Попова Д. </t>
  </si>
  <si>
    <t>Говорова Е.</t>
  </si>
  <si>
    <t>Яхина С.</t>
  </si>
  <si>
    <t>Яхина С. А.</t>
  </si>
  <si>
    <t>Никандрова П.</t>
  </si>
  <si>
    <t>Ракина С.</t>
  </si>
  <si>
    <t>Лютоева К.</t>
  </si>
  <si>
    <t xml:space="preserve">Федосова А. </t>
  </si>
  <si>
    <t>Торопов А.</t>
  </si>
  <si>
    <t>Панюков Г.</t>
  </si>
  <si>
    <t xml:space="preserve">Пунегова К. </t>
  </si>
  <si>
    <t>Прокудина В.В.</t>
  </si>
  <si>
    <t xml:space="preserve">Калтайс А. </t>
  </si>
  <si>
    <t>Косова М</t>
  </si>
  <si>
    <t xml:space="preserve">Попова В. </t>
  </si>
  <si>
    <t>Конанов В.</t>
  </si>
  <si>
    <t>Хворов М.</t>
  </si>
  <si>
    <t>Авдеев Е.</t>
  </si>
  <si>
    <t>Кожуховская О.</t>
  </si>
  <si>
    <t>Пичирига В.</t>
  </si>
  <si>
    <t xml:space="preserve">Шудрич Д. </t>
  </si>
  <si>
    <t>Амонин Н.</t>
  </si>
  <si>
    <t>Черняев М.</t>
  </si>
  <si>
    <t>Сердитов М.</t>
  </si>
  <si>
    <t>Тоноян Г. А.</t>
  </si>
  <si>
    <t>Беляков М.</t>
  </si>
  <si>
    <t>Ракина С. В.</t>
  </si>
  <si>
    <t>Бондарь А. Н.</t>
  </si>
  <si>
    <t>Кононов А.</t>
  </si>
  <si>
    <t>Рочев М. А.</t>
  </si>
  <si>
    <t>Козлов Е.</t>
  </si>
  <si>
    <t>Подоров К. Н.</t>
  </si>
  <si>
    <t>Глушков А.</t>
  </si>
  <si>
    <t>Казаку Г.</t>
  </si>
  <si>
    <t>Рогожкин Г.</t>
  </si>
  <si>
    <t>Пархачева М.</t>
  </si>
  <si>
    <t>Жилин Б.</t>
  </si>
  <si>
    <t>Лызлов Д.</t>
  </si>
  <si>
    <t>Окулов В.</t>
  </si>
  <si>
    <t>Игнатова Е.</t>
  </si>
  <si>
    <t>Елесеев Т.</t>
  </si>
  <si>
    <t>Тимушев М.</t>
  </si>
  <si>
    <t>Чернявский Н.</t>
  </si>
  <si>
    <t>Нефедов А.</t>
  </si>
  <si>
    <t>Рочева О.</t>
  </si>
  <si>
    <t>Яковлев Б.</t>
  </si>
  <si>
    <t>Малейкин М. С.</t>
  </si>
  <si>
    <t>Кириллов С.</t>
  </si>
  <si>
    <t>Жеребцов В.</t>
  </si>
  <si>
    <t>Касева О.</t>
  </si>
  <si>
    <t>Гаврилюк К.</t>
  </si>
  <si>
    <t>Сметанин А.</t>
  </si>
  <si>
    <t>Спирькин Н.</t>
  </si>
  <si>
    <t>Хакимов А.</t>
  </si>
  <si>
    <t>Дуркина Е.</t>
  </si>
  <si>
    <t xml:space="preserve">Мамонтова О. </t>
  </si>
  <si>
    <t>Ларукова Д.</t>
  </si>
  <si>
    <t>Осипов М.</t>
  </si>
  <si>
    <t>Максимов В.</t>
  </si>
  <si>
    <t>Белобородов И.</t>
  </si>
  <si>
    <t>Шпульгин А.</t>
  </si>
  <si>
    <t>Забоева Д. И.</t>
  </si>
  <si>
    <t>Гичев З.</t>
  </si>
  <si>
    <t>Рудаков А.</t>
  </si>
  <si>
    <t>Ракин С.</t>
  </si>
  <si>
    <t>Тереньтева М.</t>
  </si>
  <si>
    <t>Чеусов А.</t>
  </si>
  <si>
    <t>Ивонин С.</t>
  </si>
  <si>
    <t>Кожевников А.</t>
  </si>
  <si>
    <t>Кузиванов Г.</t>
  </si>
  <si>
    <t>Сапелкин И.</t>
  </si>
  <si>
    <t>Потапов А.</t>
  </si>
  <si>
    <t>Добряков Т.</t>
  </si>
  <si>
    <t>Филипов С.</t>
  </si>
  <si>
    <t>Карманов А.</t>
  </si>
  <si>
    <t>Тереньтева М. В.</t>
  </si>
  <si>
    <t>Карманов Д.</t>
  </si>
  <si>
    <t>Бушуев М.</t>
  </si>
  <si>
    <t>Панасюк К.</t>
  </si>
  <si>
    <t>Симаков М. П.</t>
  </si>
  <si>
    <t>Симаков М.П.</t>
  </si>
  <si>
    <t>Булатов В.</t>
  </si>
  <si>
    <t>Комарова Н. А.</t>
  </si>
  <si>
    <t>Бакулин А.</t>
  </si>
  <si>
    <t>Ушаков А.</t>
  </si>
  <si>
    <t>Городова О.</t>
  </si>
  <si>
    <t>Чеусова А. А.</t>
  </si>
  <si>
    <t>Мишарин М.</t>
  </si>
  <si>
    <t>Торлопов Д.</t>
  </si>
  <si>
    <t>Лодыгин Д. Р.</t>
  </si>
  <si>
    <t>Литвиненко И.</t>
  </si>
  <si>
    <t>Ушаков А. Н.</t>
  </si>
  <si>
    <t>Коломейцев С.</t>
  </si>
  <si>
    <t>Горшков В.</t>
  </si>
  <si>
    <t>Рассыхаева К.</t>
  </si>
  <si>
    <t>Красова В.</t>
  </si>
  <si>
    <t>Ющак А.М.</t>
  </si>
  <si>
    <t>Кинев И.</t>
  </si>
  <si>
    <t>Козлов Е.А.</t>
  </si>
  <si>
    <t>Генералов М.</t>
  </si>
  <si>
    <t>Суворов Т.</t>
  </si>
  <si>
    <t>Строю К.</t>
  </si>
  <si>
    <t>Трофимов И.</t>
  </si>
  <si>
    <t>Леденцов С.</t>
  </si>
  <si>
    <t>Пашева В.</t>
  </si>
  <si>
    <t>Югов Н.</t>
  </si>
  <si>
    <t>Ракин Д.</t>
  </si>
  <si>
    <t>Зорин Н.</t>
  </si>
  <si>
    <t>Зорин З.</t>
  </si>
  <si>
    <t>Попов С.</t>
  </si>
  <si>
    <t>Софин И.</t>
  </si>
  <si>
    <t>Зезегов С.</t>
  </si>
  <si>
    <t>Микрюков С.</t>
  </si>
  <si>
    <t>Канов С.</t>
  </si>
  <si>
    <t>Григорьева М.</t>
  </si>
  <si>
    <t>Пунегова К.</t>
  </si>
  <si>
    <t>Ремейкис М.</t>
  </si>
  <si>
    <t>Ануфриев В.</t>
  </si>
  <si>
    <t>Ремейкис М. В.</t>
  </si>
  <si>
    <t>Маркозашвили Г.</t>
  </si>
  <si>
    <t>Румянцев Д.</t>
  </si>
  <si>
    <t>Осипов К.</t>
  </si>
  <si>
    <t>Жебов А.</t>
  </si>
  <si>
    <t>Булышев З.</t>
  </si>
  <si>
    <t>Васильев Е.</t>
  </si>
  <si>
    <t>Ануфриев З.</t>
  </si>
  <si>
    <t>Волков М.</t>
  </si>
  <si>
    <t>Деменчук В.</t>
  </si>
  <si>
    <t>Гущин Д.</t>
  </si>
  <si>
    <t>Алдушина К.</t>
  </si>
  <si>
    <t>Шаркова Э.</t>
  </si>
  <si>
    <t>Мишарин О.</t>
  </si>
  <si>
    <t>Калинин В.</t>
  </si>
  <si>
    <t>Кулинич В.</t>
  </si>
  <si>
    <t xml:space="preserve">Кулинич В. </t>
  </si>
  <si>
    <t>Диланян Д.</t>
  </si>
  <si>
    <t>Кутепова Д.</t>
  </si>
  <si>
    <t>Шадрин Я.</t>
  </si>
  <si>
    <t>Иевлев А.</t>
  </si>
  <si>
    <t>Елькин Д. А.</t>
  </si>
  <si>
    <t>Оплеснин Д.</t>
  </si>
  <si>
    <t>Юрьева А. Н.</t>
  </si>
  <si>
    <t>Алдушина К. А.</t>
  </si>
  <si>
    <t>Цуманкова А.</t>
  </si>
  <si>
    <t>Шадрин Я. А.</t>
  </si>
  <si>
    <t>Чупров Г.</t>
  </si>
  <si>
    <t>Кутепова Д. В.</t>
  </si>
  <si>
    <t>Исаев И.</t>
  </si>
  <si>
    <t>Стремоусов А.</t>
  </si>
  <si>
    <t>Юрьева А.Н.</t>
  </si>
  <si>
    <t>Потапов Р.</t>
  </si>
  <si>
    <t>Рокина В. Е.</t>
  </si>
  <si>
    <t>Просужих Н.</t>
  </si>
  <si>
    <t>Добров Б.</t>
  </si>
  <si>
    <t>Забавский М.</t>
  </si>
  <si>
    <t>Иевлева З.</t>
  </si>
  <si>
    <t>Артаманов А.</t>
  </si>
  <si>
    <t>Канев Р. В.</t>
  </si>
  <si>
    <t>Шапоров А.</t>
  </si>
  <si>
    <t>Изъюров Р.</t>
  </si>
  <si>
    <t>Девятков А.</t>
  </si>
  <si>
    <t>Потолицына С. Р.</t>
  </si>
  <si>
    <t>Чегесов А.</t>
  </si>
  <si>
    <t>Плосков Е.</t>
  </si>
  <si>
    <t>Шемяков А.</t>
  </si>
  <si>
    <t>Пигулин И.</t>
  </si>
  <si>
    <t>Русанов А.</t>
  </si>
  <si>
    <t>Попова В.</t>
  </si>
  <si>
    <t>Демиденко Н.</t>
  </si>
  <si>
    <t>Кашинцев Д.</t>
  </si>
  <si>
    <t>Сердитов
 Д.</t>
  </si>
  <si>
    <t>Новинский В.</t>
  </si>
  <si>
    <t>Литовченко А.</t>
  </si>
  <si>
    <t>Алимова Е.</t>
  </si>
  <si>
    <t>Снотчек С.</t>
  </si>
  <si>
    <t>Тепляков С.</t>
  </si>
  <si>
    <t>Баранов Л.</t>
  </si>
  <si>
    <t>Дигель Р.</t>
  </si>
  <si>
    <t>Манзадей В.</t>
  </si>
  <si>
    <t>Морозов Н.</t>
  </si>
  <si>
    <t>Мартюшева К. В.</t>
  </si>
  <si>
    <t>Шудрич Д.</t>
  </si>
  <si>
    <t>Софьин И. С.</t>
  </si>
  <si>
    <t>Дик Л. С.</t>
  </si>
  <si>
    <t>Дигель Р. А.</t>
  </si>
  <si>
    <t xml:space="preserve">Казаку Г. </t>
  </si>
  <si>
    <t xml:space="preserve">Лызлов Д. </t>
  </si>
  <si>
    <t>Шпулинг А.</t>
  </si>
  <si>
    <t>Буторина С.</t>
  </si>
  <si>
    <t>Митюнин А.</t>
  </si>
  <si>
    <t>Платто В. А.</t>
  </si>
  <si>
    <t>Габов Н.</t>
  </si>
  <si>
    <t>Потапов
 А.</t>
  </si>
  <si>
    <t>Лабецкая В.</t>
  </si>
  <si>
    <t>Мазурчик А.</t>
  </si>
  <si>
    <t>Рассыхаева Д.</t>
  </si>
  <si>
    <t>Соловей А. С.</t>
  </si>
  <si>
    <t>Симонов А.</t>
  </si>
  <si>
    <t>Шишкин М.</t>
  </si>
  <si>
    <t>Семенова Ю.</t>
  </si>
  <si>
    <t>Калтайс А.</t>
  </si>
  <si>
    <t>Некрасова Ф.</t>
  </si>
  <si>
    <t>Чупров И.</t>
  </si>
  <si>
    <t>Харитонова К.</t>
  </si>
  <si>
    <t>Некрасова Ф. С.</t>
  </si>
  <si>
    <t>Матвеев В. С.</t>
  </si>
  <si>
    <t>Митяшина Д. Н.</t>
  </si>
  <si>
    <t>Федорова А. В.</t>
  </si>
  <si>
    <t>Кушманова К.</t>
  </si>
  <si>
    <t>Рассыхаева К.
 Е.</t>
  </si>
  <si>
    <t>Карнаухов Н. А.</t>
  </si>
  <si>
    <t>Лебедев М.</t>
  </si>
  <si>
    <t>Сердитов Д.</t>
  </si>
  <si>
    <t>Лихачев С.</t>
  </si>
  <si>
    <t>Ташлыкова Л.</t>
  </si>
  <si>
    <t>Сокол В.</t>
  </si>
  <si>
    <t>Кузнецова В.</t>
  </si>
  <si>
    <t>Эрлих Е.</t>
  </si>
  <si>
    <t>Ипатов Д.</t>
  </si>
  <si>
    <t>Чурсина Е.</t>
  </si>
  <si>
    <t>Шиликовская Г. А.</t>
  </si>
  <si>
    <t>Ежова Л.</t>
  </si>
  <si>
    <t>Кузнецова В.Н.</t>
  </si>
  <si>
    <t>Эрлих Е. А.</t>
  </si>
  <si>
    <t>Мисиров Д. А.</t>
  </si>
  <si>
    <t>Вахнина А.</t>
  </si>
  <si>
    <t>Леонов К. В.</t>
  </si>
  <si>
    <t>Хусаинова О.</t>
  </si>
  <si>
    <t>Изъюров Н.Д.</t>
  </si>
  <si>
    <t>Владычек Д.</t>
  </si>
  <si>
    <t>Изъюров Н. Д.</t>
  </si>
  <si>
    <t>Потапов Р. А.</t>
  </si>
  <si>
    <t>Плосков Е.В.</t>
  </si>
  <si>
    <t>Аникьева Л.</t>
  </si>
  <si>
    <t>Кочанова Н.</t>
  </si>
  <si>
    <t>Гулынин Д.</t>
  </si>
  <si>
    <t>Столетов Б.</t>
  </si>
  <si>
    <t>Попова Т.</t>
  </si>
  <si>
    <t>Дуркина Е. 
 В.</t>
  </si>
  <si>
    <t>Цуманкова А. Е.</t>
  </si>
  <si>
    <t>Михайлов Ю. А.</t>
  </si>
  <si>
    <t>Шевелева Я. С.</t>
  </si>
  <si>
    <t>Носкова Д.</t>
  </si>
  <si>
    <t>Настасина К.</t>
  </si>
  <si>
    <t>Ковалева А.</t>
  </si>
  <si>
    <t>Размыслова С.</t>
  </si>
  <si>
    <t>Мазурчик 
 А.</t>
  </si>
  <si>
    <t>Ротанова В.</t>
  </si>
  <si>
    <t>Прокудин Д.</t>
  </si>
  <si>
    <t>Гулынин Д. Д.</t>
  </si>
  <si>
    <t>Мазурчик 
 А.Д.</t>
  </si>
  <si>
    <t>Юцкевич Е. В.</t>
  </si>
  <si>
    <t>Попова В.А.</t>
  </si>
  <si>
    <t>Владычек Д. Н.</t>
  </si>
  <si>
    <t>Митюков А. А.</t>
  </si>
  <si>
    <t>Попова Д.</t>
  </si>
  <si>
    <t>Глушко В. М.</t>
  </si>
  <si>
    <t>Девятков А.Н.</t>
  </si>
  <si>
    <t>Давлетов Ю.</t>
  </si>
  <si>
    <t>Косова М.</t>
  </si>
  <si>
    <t>Соболева А.</t>
  </si>
  <si>
    <t>Попов В.</t>
  </si>
  <si>
    <t>Попов Р. В.</t>
  </si>
  <si>
    <t>Колипова А.И.</t>
  </si>
  <si>
    <t>Смирнов А.И.</t>
  </si>
  <si>
    <t>Говорова Е. А.</t>
  </si>
  <si>
    <t>Мальцев М. В.</t>
  </si>
  <si>
    <t>Мальцев М.В.</t>
  </si>
  <si>
    <t>Яцула Е.</t>
  </si>
  <si>
    <t>Балабаев А.</t>
  </si>
  <si>
    <t>Кувыркина В.</t>
  </si>
  <si>
    <t>Чурсина Е. Е.</t>
  </si>
  <si>
    <t>Юцкевич Е.В.</t>
  </si>
  <si>
    <t>Нурмухаматов
 К. И.</t>
  </si>
  <si>
    <t>Нефедов А. А.</t>
  </si>
  <si>
    <t>Чабанов С.</t>
  </si>
  <si>
    <t>Косова М. С.</t>
  </si>
  <si>
    <t>Эчишвили Б.</t>
  </si>
  <si>
    <t>Парилов А.М.</t>
  </si>
  <si>
    <t>Борисов А.</t>
  </si>
  <si>
    <t>Бурая Д.А.</t>
  </si>
  <si>
    <t>Ракитин Н.</t>
  </si>
  <si>
    <t>Кошман А. Р.</t>
  </si>
  <si>
    <t>Чукрин К.</t>
  </si>
  <si>
    <t>Рябов А. С.</t>
  </si>
  <si>
    <t>Ларуков А.</t>
  </si>
  <si>
    <t>Торопов Т.</t>
  </si>
  <si>
    <t>Курбатов М.</t>
  </si>
  <si>
    <t>Ведмедюк П.</t>
  </si>
  <si>
    <t>Краснов С. П.</t>
  </si>
  <si>
    <t>Шалаев М.</t>
  </si>
  <si>
    <t>Сердитов
 Д. В.</t>
  </si>
  <si>
    <t>Артамонов А. И.</t>
  </si>
  <si>
    <t>Нахлупин А. В.</t>
  </si>
  <si>
    <t>Наймушина Э.С.</t>
  </si>
  <si>
    <t>Наймушина Э. С.</t>
  </si>
  <si>
    <t>Игнатова М.</t>
  </si>
  <si>
    <t>Старостенко К. Е.</t>
  </si>
  <si>
    <t>Гусейнова Д. Г.</t>
  </si>
  <si>
    <t>Шемпелев Р. В.</t>
  </si>
  <si>
    <t>Панюков Г. А.</t>
  </si>
  <si>
    <t>Демиденко Н. А.</t>
  </si>
  <si>
    <t>Ракитин С. О.</t>
  </si>
  <si>
    <t>Маркозашвили Г. Н.</t>
  </si>
  <si>
    <t>Павлюшина Е. М.</t>
  </si>
  <si>
    <t>Карпенко Н.Д.</t>
  </si>
  <si>
    <t>Костина В. С.</t>
  </si>
  <si>
    <t>Шаркова Э. Е.</t>
  </si>
  <si>
    <t>Аникьева Л. А.</t>
  </si>
  <si>
    <t>Нечаев В. С.</t>
  </si>
  <si>
    <t>Бабина П. А.</t>
  </si>
  <si>
    <t>Герасимович К. Н.</t>
  </si>
  <si>
    <t>Фролова Д. Е.</t>
  </si>
  <si>
    <t>Литвиненко И. Д.</t>
  </si>
  <si>
    <t>Гичев З. С.</t>
  </si>
  <si>
    <t>Леденцов 
 С. А.</t>
  </si>
  <si>
    <t>Понаморева Д.Д.</t>
  </si>
  <si>
    <t>Гераскин К. Д.</t>
  </si>
  <si>
    <t>Ковалева А. А.</t>
  </si>
  <si>
    <t>Торлопов А.В.</t>
  </si>
  <si>
    <t>Гордиенко Д. В.</t>
  </si>
  <si>
    <t>Кривушева Е. А.</t>
  </si>
  <si>
    <t>Торлопов А. В.</t>
  </si>
  <si>
    <t>Сажин Е. С.</t>
  </si>
  <si>
    <t>Куцко Р.В.</t>
  </si>
  <si>
    <t>Куцко Р.</t>
  </si>
  <si>
    <t>Канев Б.А.</t>
  </si>
  <si>
    <t>Торлопов К.А.</t>
  </si>
  <si>
    <t>Удоратина Д. В.</t>
  </si>
  <si>
    <t xml:space="preserve">Горчаков Д. Д.
</t>
  </si>
  <si>
    <t>Куцко Р. В.</t>
  </si>
  <si>
    <t>Козлов Д. С.</t>
  </si>
  <si>
    <t>Чеботарь А. Д.</t>
  </si>
  <si>
    <t>Смуденков М. В.</t>
  </si>
  <si>
    <t>Чесноков Ю. В.</t>
  </si>
  <si>
    <t>Игнатов В.В.</t>
  </si>
  <si>
    <t>Шипицын И. В.</t>
  </si>
  <si>
    <t>Игнатов В. В.</t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</si>
  <si>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</si>
  <si>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Группа Э-1
Специальность 35.02.16  Эксплуатация и ремонт сельскохозяйственной техники и оборудования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</si>
  <si>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</si>
  <si>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</si>
  <si>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</si>
  <si>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</si>
  <si>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</si>
  <si>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Группа МСХП-1
Профессия 35.01.27
МАСТЕР СЕЛЬСКОХОЗЯЙСТВЕННОГО ПРОИЗВОДСТВА 
</t>
    </r>
    <r>
      <rPr>
        <b/>
        <i/>
        <sz val="9"/>
        <color rgb="FF1C4587"/>
        <rFont val="Calibri"/>
        <family val="2"/>
        <charset val="204"/>
      </rPr>
      <t>(на базе основного общего образования)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</si>
  <si>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</si>
  <si>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</si>
  <si>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</si>
  <si>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</si>
  <si>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</si>
  <si>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Группа МА-1
Профессия 23.01.17  Мастер по ремонту и обслуживанию автомобилей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</si>
  <si>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</si>
  <si>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</si>
  <si>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</si>
  <si>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</si>
  <si>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</si>
  <si>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t xml:space="preserve">Группа МСР-1
Профессия 15.01.35 Мастер слесарных работ        
</t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</si>
  <si>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</si>
  <si>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</si>
  <si>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</si>
  <si>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</si>
  <si>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</si>
  <si>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Группа ПК-1
Профессия 43.01.09  Повар-кондитер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</si>
  <si>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</si>
  <si>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</si>
  <si>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</si>
  <si>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</si>
  <si>
    <r>
      <rPr>
        <b/>
        <i/>
        <sz val="8"/>
        <color rgb="FF434343"/>
        <rFont val="Times New Roman"/>
        <family val="1"/>
        <charset val="204"/>
      </rPr>
      <t>ГПОУ "Коми республиканский агропромышленный техникум имени Н.В.Оплеснина"</t>
    </r>
    <r>
      <rPr>
        <b/>
        <i/>
        <sz val="10"/>
        <color rgb="FF434343"/>
        <rFont val="Times New Roman"/>
        <family val="1"/>
        <charset val="204"/>
      </rPr>
      <t xml:space="preserve">
</t>
    </r>
    <r>
      <rPr>
        <b/>
        <sz val="14"/>
        <color rgb="FF000000"/>
        <rFont val="Times New Roman"/>
        <family val="1"/>
        <charset val="204"/>
      </rPr>
      <t>Списки лиц, подавших документы и рейтинг</t>
    </r>
  </si>
  <si>
    <r>
      <rPr>
        <b/>
        <sz val="12"/>
        <color rgb="FF1C4587"/>
        <rFont val="Calibri"/>
        <family val="2"/>
        <charset val="204"/>
      </rPr>
      <t xml:space="preserve">Группа ВЕТЛАБ-1
Специальность 36.01.05 Лаборант в области ветеринарии
</t>
    </r>
    <r>
      <rPr>
        <b/>
        <i/>
        <sz val="8"/>
        <color rgb="FF1C4587"/>
        <rFont val="Calibri"/>
        <family val="2"/>
        <charset val="204"/>
      </rPr>
      <t>(на базе основного общего образования)</t>
    </r>
  </si>
  <si>
    <r>
      <rPr>
        <b/>
        <sz val="14"/>
        <color rgb="FF1C4587"/>
        <rFont val="Calibri"/>
        <family val="2"/>
        <charset val="204"/>
      </rPr>
      <t>№</t>
    </r>
    <r>
      <rPr>
        <b/>
        <sz val="13"/>
        <color rgb="FF1C4587"/>
        <rFont val="Calibri"/>
        <family val="2"/>
        <charset val="204"/>
      </rPr>
      <t xml:space="preserve">
</t>
    </r>
    <r>
      <rPr>
        <b/>
        <sz val="8"/>
        <color rgb="FF1C4587"/>
        <rFont val="Calibri"/>
        <family val="2"/>
        <charset val="204"/>
      </rPr>
      <t>в рейтинге</t>
    </r>
  </si>
  <si>
    <r>
      <rPr>
        <b/>
        <sz val="14"/>
        <color rgb="FF1C4587"/>
        <rFont val="Calibri"/>
        <family val="2"/>
        <charset val="204"/>
      </rPr>
      <t xml:space="preserve">ФИО 
</t>
    </r>
    <r>
      <rPr>
        <b/>
        <sz val="8"/>
        <color rgb="FF1C4587"/>
        <rFont val="Calibri"/>
        <family val="2"/>
        <charset val="204"/>
      </rPr>
      <t>Абитуриента</t>
    </r>
  </si>
  <si>
    <r>
      <rPr>
        <b/>
        <sz val="14"/>
        <color rgb="FF1C4587"/>
        <rFont val="Calibri"/>
        <family val="2"/>
        <charset val="204"/>
      </rPr>
      <t>Средний балл</t>
    </r>
    <r>
      <rPr>
        <b/>
        <sz val="13"/>
        <color rgb="FF1C4587"/>
        <rFont val="Calibri"/>
        <family val="2"/>
        <charset val="204"/>
      </rPr>
      <t xml:space="preserve"> </t>
    </r>
    <r>
      <rPr>
        <b/>
        <sz val="8"/>
        <color rgb="FF1C4587"/>
        <rFont val="Calibri"/>
        <family val="2"/>
        <charset val="204"/>
      </rPr>
      <t>аттестата</t>
    </r>
  </si>
  <si>
    <r>
      <rPr>
        <b/>
        <sz val="13"/>
        <color rgb="FF1C4587"/>
        <rFont val="Calibri"/>
        <family val="2"/>
        <charset val="204"/>
      </rPr>
      <t xml:space="preserve">Документ
</t>
    </r>
    <r>
      <rPr>
        <b/>
        <sz val="8"/>
        <color rgb="FF1C4587"/>
        <rFont val="Calibri"/>
        <family val="2"/>
        <charset val="204"/>
      </rPr>
      <t>об образовании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</si>
</sst>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d\.mm\.yyyy\ h:mm:ss"/>
    <numFmt numFmtId="166" formatCode="#,##0.000"/>
  </numFmts>
  <fonts count="3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rgb="FF93C47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rgb="FF6AA84F"/>
      <name val="Calibri"/>
      <family val="2"/>
      <charset val="204"/>
      <scheme val="minor"/>
    </font>
    <font>
      <b/>
      <sz val="11"/>
      <color rgb="FF38761D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6AA84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rgb="FF93C47D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6AA84F"/>
      <name val="Calibri"/>
      <family val="2"/>
      <charset val="204"/>
      <scheme val="minor"/>
    </font>
    <font>
      <b/>
      <sz val="13"/>
      <color rgb="FFA4C2F4"/>
      <name val="Calibri"/>
      <family val="2"/>
      <charset val="204"/>
      <scheme val="minor"/>
    </font>
    <font>
      <b/>
      <sz val="12"/>
      <color rgb="FF1C4587"/>
      <name val="Calibri"/>
      <family val="2"/>
      <charset val="204"/>
      <scheme val="minor"/>
    </font>
    <font>
      <b/>
      <sz val="13"/>
      <color rgb="FF1C4587"/>
      <name val="Calibri"/>
      <family val="2"/>
      <charset val="204"/>
      <scheme val="minor"/>
    </font>
    <font>
      <b/>
      <sz val="14"/>
      <color rgb="FF1C4587"/>
      <name val="Calibri"/>
      <family val="2"/>
      <charset val="204"/>
      <scheme val="minor"/>
    </font>
    <font>
      <b/>
      <sz val="12"/>
      <color rgb="FF1F497D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1F497D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color theme="1"/>
      <name val="&quot;Times New Roman&quot;"/>
    </font>
    <font>
      <sz val="11"/>
      <color theme="1"/>
      <name val="&quot;Times New Roman&quot;"/>
    </font>
    <font>
      <sz val="12"/>
      <color theme="1"/>
      <name val="Calibri"/>
      <family val="2"/>
      <charset val="204"/>
      <scheme val="minor"/>
    </font>
    <font>
      <b/>
      <sz val="11"/>
      <color rgb="FF38761D"/>
      <name val="Calibri"/>
      <family val="2"/>
      <charset val="204"/>
    </font>
    <font>
      <b/>
      <i/>
      <sz val="11"/>
      <color rgb="FF38761D"/>
      <name val="Calibri"/>
      <family val="2"/>
      <charset val="204"/>
    </font>
    <font>
      <b/>
      <i/>
      <sz val="8"/>
      <color rgb="FF434343"/>
      <name val="Times New Roman"/>
      <family val="1"/>
      <charset val="204"/>
    </font>
    <font>
      <b/>
      <i/>
      <sz val="10"/>
      <color rgb="FF434343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1C4587"/>
      <name val="Calibri"/>
      <family val="2"/>
      <charset val="204"/>
    </font>
    <font>
      <b/>
      <i/>
      <sz val="8"/>
      <color rgb="FF1C4587"/>
      <name val="Calibri"/>
      <family val="2"/>
      <charset val="204"/>
    </font>
    <font>
      <b/>
      <sz val="14"/>
      <color rgb="FF1C4587"/>
      <name val="Calibri"/>
      <family val="2"/>
      <charset val="204"/>
    </font>
    <font>
      <b/>
      <sz val="13"/>
      <color rgb="FF1C4587"/>
      <name val="Calibri"/>
      <family val="2"/>
      <charset val="204"/>
    </font>
    <font>
      <b/>
      <sz val="8"/>
      <color rgb="FF1C4587"/>
      <name val="Calibri"/>
      <family val="2"/>
      <charset val="204"/>
    </font>
    <font>
      <b/>
      <i/>
      <sz val="9"/>
      <color rgb="FF1C4587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/>
      <top/>
      <bottom style="thick">
        <color rgb="FFA6BFDD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164" fontId="1" fillId="0" borderId="0" xfId="0" applyNumberFormat="1" applyFont="1" applyAlignment="1"/>
    <xf numFmtId="0" fontId="3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166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/>
    <xf numFmtId="4" fontId="1" fillId="5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 wrapText="1"/>
    </xf>
    <xf numFmtId="166" fontId="1" fillId="5" borderId="0" xfId="0" applyNumberFormat="1" applyFont="1" applyFill="1"/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4" fontId="17" fillId="0" borderId="2" xfId="0" applyNumberFormat="1" applyFont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166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166" fontId="19" fillId="0" borderId="0" xfId="0" applyNumberFormat="1" applyFont="1" applyAlignment="1">
      <alignment horizontal="center" vertical="top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/>
    <xf numFmtId="0" fontId="18" fillId="0" borderId="0" xfId="0" applyFont="1" applyAlignment="1">
      <alignment horizontal="left" vertical="top"/>
    </xf>
    <xf numFmtId="0" fontId="1" fillId="5" borderId="0" xfId="0" applyFont="1" applyFill="1" applyAlignment="1"/>
    <xf numFmtId="0" fontId="18" fillId="0" borderId="0" xfId="0" applyFont="1" applyAlignment="1">
      <alignment vertical="top"/>
    </xf>
    <xf numFmtId="0" fontId="19" fillId="0" borderId="0" xfId="0" applyFont="1" applyAlignment="1"/>
    <xf numFmtId="0" fontId="21" fillId="0" borderId="0" xfId="0" applyFont="1"/>
    <xf numFmtId="166" fontId="19" fillId="0" borderId="0" xfId="0" applyNumberFormat="1" applyFont="1" applyAlignment="1">
      <alignment horizontal="center" vertical="top"/>
    </xf>
    <xf numFmtId="4" fontId="19" fillId="0" borderId="0" xfId="0" applyNumberFormat="1" applyFont="1" applyAlignment="1">
      <alignment horizontal="center" vertical="top"/>
    </xf>
    <xf numFmtId="4" fontId="19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4" fontId="22" fillId="0" borderId="0" xfId="0" applyNumberFormat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center" vertical="top"/>
    </xf>
    <xf numFmtId="4" fontId="22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Alignment="1"/>
    <xf numFmtId="4" fontId="24" fillId="0" borderId="0" xfId="0" applyNumberFormat="1" applyFont="1" applyAlignment="1"/>
    <xf numFmtId="4" fontId="23" fillId="0" borderId="0" xfId="0" applyNumberFormat="1" applyFont="1" applyAlignment="1">
      <alignment horizontal="center" vertical="top"/>
    </xf>
    <xf numFmtId="4" fontId="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4" borderId="0" xfId="0" applyFont="1" applyFill="1"/>
    <xf numFmtId="4" fontId="16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17" fillId="0" borderId="2" xfId="0" applyNumberFormat="1" applyFont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Font="1" applyAlignment="1"/>
    <xf numFmtId="0" fontId="1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164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97"/>
  <sheetViews>
    <sheetView workbookViewId="0">
      <pane ySplit="1" topLeftCell="A38" activePane="bottomLeft" state="frozen"/>
      <selection pane="bottomLeft" activeCell="B3" sqref="B3"/>
    </sheetView>
  </sheetViews>
  <sheetFormatPr defaultColWidth="14.42578125" defaultRowHeight="15" customHeight="1"/>
  <cols>
    <col min="1" max="1" width="12.5703125" customWidth="1"/>
    <col min="2" max="2" width="27.5703125" customWidth="1"/>
    <col min="3" max="3" width="9.28515625" customWidth="1"/>
    <col min="4" max="4" width="15" customWidth="1"/>
    <col min="5" max="5" width="36.5703125" customWidth="1"/>
    <col min="6" max="6" width="31.42578125" customWidth="1"/>
    <col min="7" max="7" width="13.7109375" customWidth="1"/>
    <col min="8" max="8" width="21.5703125" customWidth="1"/>
    <col min="9" max="9" width="37.85546875" customWidth="1"/>
    <col min="10" max="10" width="21.5703125" customWidth="1"/>
  </cols>
  <sheetData>
    <row r="1" spans="1:10">
      <c r="A1" s="1">
        <v>46255</v>
      </c>
      <c r="B1" s="2"/>
      <c r="C1" s="2"/>
      <c r="D1" s="2"/>
      <c r="E1" s="2"/>
      <c r="F1" s="4" t="s">
        <v>0</v>
      </c>
      <c r="G1" s="71" t="s">
        <v>1</v>
      </c>
      <c r="H1" s="72"/>
      <c r="I1" s="7"/>
      <c r="J1" s="7"/>
    </row>
    <row r="2" spans="1:10" ht="15.75">
      <c r="B2" s="8" t="s">
        <v>2</v>
      </c>
      <c r="C2" s="9">
        <v>3.45</v>
      </c>
      <c r="D2" s="10" t="s">
        <v>4</v>
      </c>
      <c r="E2" s="11" t="s">
        <v>5</v>
      </c>
      <c r="F2" s="12" t="s">
        <v>494</v>
      </c>
      <c r="G2" s="13" t="s">
        <v>10</v>
      </c>
      <c r="H2" s="12" t="s">
        <v>11</v>
      </c>
      <c r="I2" s="14" t="s">
        <v>5</v>
      </c>
    </row>
    <row r="3" spans="1:10" ht="15.75">
      <c r="A3" s="15"/>
      <c r="B3" s="8" t="s">
        <v>12</v>
      </c>
      <c r="C3" s="9">
        <v>3.63</v>
      </c>
      <c r="D3" s="10" t="s">
        <v>4</v>
      </c>
      <c r="E3" s="11" t="s">
        <v>5</v>
      </c>
      <c r="F3" s="12" t="s">
        <v>15</v>
      </c>
      <c r="G3" s="17">
        <v>5</v>
      </c>
      <c r="H3" s="12" t="s">
        <v>4</v>
      </c>
      <c r="I3" s="14" t="s">
        <v>5</v>
      </c>
    </row>
    <row r="4" spans="1:10" ht="15.75">
      <c r="A4" s="15"/>
      <c r="B4" s="8" t="s">
        <v>18</v>
      </c>
      <c r="C4" s="9">
        <v>4.5999999999999996</v>
      </c>
      <c r="D4" s="10" t="s">
        <v>4</v>
      </c>
      <c r="E4" s="11" t="s">
        <v>5</v>
      </c>
      <c r="F4" s="12" t="s">
        <v>22</v>
      </c>
      <c r="G4" s="12">
        <v>5</v>
      </c>
      <c r="H4" s="12" t="s">
        <v>4</v>
      </c>
      <c r="I4" s="14" t="s">
        <v>5</v>
      </c>
    </row>
    <row r="5" spans="1:10" ht="15.75">
      <c r="A5" s="15"/>
      <c r="B5" s="8" t="s">
        <v>26</v>
      </c>
      <c r="C5" s="9">
        <v>3.4</v>
      </c>
      <c r="D5" s="10" t="s">
        <v>4</v>
      </c>
      <c r="E5" s="11" t="s">
        <v>5</v>
      </c>
      <c r="F5" s="12" t="s">
        <v>28</v>
      </c>
      <c r="G5" s="17">
        <v>4.9400000000000004</v>
      </c>
      <c r="H5" s="12" t="s">
        <v>4</v>
      </c>
      <c r="I5" s="14" t="s">
        <v>5</v>
      </c>
    </row>
    <row r="6" spans="1:10" ht="15.75">
      <c r="A6" s="15"/>
      <c r="B6" s="8" t="s">
        <v>29</v>
      </c>
      <c r="C6" s="9">
        <v>3.39</v>
      </c>
      <c r="D6" s="10" t="s">
        <v>4</v>
      </c>
      <c r="E6" s="11" t="s">
        <v>5</v>
      </c>
      <c r="F6" s="12" t="s">
        <v>28</v>
      </c>
      <c r="G6" s="13">
        <v>4.9400000000000004</v>
      </c>
      <c r="H6" s="12" t="s">
        <v>30</v>
      </c>
      <c r="I6" s="14" t="s">
        <v>5</v>
      </c>
    </row>
    <row r="7" spans="1:10" ht="15.75">
      <c r="A7" s="15"/>
      <c r="B7" s="21" t="s">
        <v>31</v>
      </c>
      <c r="C7" s="9">
        <v>3.58</v>
      </c>
      <c r="D7" s="10" t="s">
        <v>4</v>
      </c>
      <c r="E7" s="11" t="s">
        <v>5</v>
      </c>
      <c r="F7" s="12" t="s">
        <v>32</v>
      </c>
      <c r="G7" s="13">
        <v>4.8899999999999997</v>
      </c>
      <c r="H7" s="12" t="s">
        <v>30</v>
      </c>
      <c r="I7" s="14" t="s">
        <v>5</v>
      </c>
    </row>
    <row r="8" spans="1:10" ht="15.75">
      <c r="A8" s="15"/>
      <c r="B8" s="8" t="s">
        <v>33</v>
      </c>
      <c r="C8" s="9">
        <v>3.4</v>
      </c>
      <c r="D8" s="10" t="s">
        <v>4</v>
      </c>
      <c r="E8" s="11" t="s">
        <v>5</v>
      </c>
      <c r="F8" s="12" t="s">
        <v>34</v>
      </c>
      <c r="G8" s="12">
        <v>4.8499999999999996</v>
      </c>
      <c r="H8" s="12" t="s">
        <v>4</v>
      </c>
      <c r="I8" s="14" t="s">
        <v>35</v>
      </c>
    </row>
    <row r="9" spans="1:10" ht="15.75">
      <c r="A9" s="15"/>
      <c r="B9" s="8" t="s">
        <v>36</v>
      </c>
      <c r="C9" s="9">
        <v>3.89</v>
      </c>
      <c r="D9" s="10" t="s">
        <v>4</v>
      </c>
      <c r="E9" s="11" t="s">
        <v>35</v>
      </c>
      <c r="F9" s="12" t="s">
        <v>37</v>
      </c>
      <c r="G9" s="17">
        <v>4.8499999999999996</v>
      </c>
      <c r="H9" s="12" t="s">
        <v>38</v>
      </c>
      <c r="I9" s="14" t="s">
        <v>39</v>
      </c>
    </row>
    <row r="10" spans="1:10" ht="15.75">
      <c r="A10" s="15"/>
      <c r="B10" s="8" t="s">
        <v>41</v>
      </c>
      <c r="C10" s="9">
        <v>3.42</v>
      </c>
      <c r="D10" s="10" t="s">
        <v>4</v>
      </c>
      <c r="E10" s="11" t="s">
        <v>39</v>
      </c>
      <c r="F10" s="12" t="s">
        <v>43</v>
      </c>
      <c r="G10" s="17">
        <v>4.7300000000000004</v>
      </c>
      <c r="H10" s="12" t="s">
        <v>4</v>
      </c>
      <c r="I10" s="14" t="s">
        <v>5</v>
      </c>
    </row>
    <row r="11" spans="1:10" ht="15.75">
      <c r="A11" s="15"/>
      <c r="B11" s="8" t="s">
        <v>46</v>
      </c>
      <c r="C11" s="9">
        <v>3.47</v>
      </c>
      <c r="D11" s="10" t="s">
        <v>4</v>
      </c>
      <c r="E11" s="11" t="s">
        <v>5</v>
      </c>
      <c r="F11" s="12" t="s">
        <v>47</v>
      </c>
      <c r="G11" s="12">
        <v>4.72</v>
      </c>
      <c r="H11" s="12" t="s">
        <v>48</v>
      </c>
      <c r="I11" s="14" t="s">
        <v>5</v>
      </c>
    </row>
    <row r="12" spans="1:10" ht="15.75">
      <c r="A12" s="15"/>
      <c r="B12" s="8" t="s">
        <v>49</v>
      </c>
      <c r="C12" s="9">
        <v>4.21</v>
      </c>
      <c r="D12" s="10" t="s">
        <v>4</v>
      </c>
      <c r="E12" s="11" t="s">
        <v>35</v>
      </c>
      <c r="F12" s="12" t="s">
        <v>50</v>
      </c>
      <c r="G12" s="17">
        <v>4.66</v>
      </c>
      <c r="H12" s="12" t="s">
        <v>38</v>
      </c>
      <c r="I12" s="14" t="s">
        <v>5</v>
      </c>
    </row>
    <row r="13" spans="1:10" ht="15.75">
      <c r="A13" s="15"/>
      <c r="B13" s="21" t="s">
        <v>51</v>
      </c>
      <c r="C13" s="24">
        <v>4.38</v>
      </c>
      <c r="D13" s="10" t="s">
        <v>4</v>
      </c>
      <c r="E13" s="11" t="s">
        <v>35</v>
      </c>
      <c r="F13" s="12" t="s">
        <v>18</v>
      </c>
      <c r="G13" s="17">
        <v>4.5999999999999996</v>
      </c>
      <c r="H13" s="12" t="s">
        <v>4</v>
      </c>
      <c r="I13" s="14" t="s">
        <v>5</v>
      </c>
    </row>
    <row r="14" spans="1:10" ht="15.75">
      <c r="A14" s="15"/>
      <c r="B14" s="21" t="s">
        <v>52</v>
      </c>
      <c r="C14" s="24">
        <v>4.55</v>
      </c>
      <c r="D14" s="10" t="s">
        <v>4</v>
      </c>
      <c r="E14" s="11" t="s">
        <v>5</v>
      </c>
      <c r="F14" s="12" t="s">
        <v>53</v>
      </c>
      <c r="G14" s="12">
        <v>4.5999999999999996</v>
      </c>
      <c r="H14" s="12" t="s">
        <v>4</v>
      </c>
      <c r="I14" s="14" t="s">
        <v>5</v>
      </c>
    </row>
    <row r="15" spans="1:10" ht="15.75">
      <c r="A15" s="15"/>
      <c r="B15" s="21" t="s">
        <v>54</v>
      </c>
      <c r="C15" s="24">
        <v>4.5</v>
      </c>
      <c r="D15" s="10" t="s">
        <v>4</v>
      </c>
      <c r="E15" s="11" t="s">
        <v>5</v>
      </c>
      <c r="F15" s="12" t="s">
        <v>52</v>
      </c>
      <c r="G15" s="12">
        <v>4.55</v>
      </c>
      <c r="H15" s="12" t="s">
        <v>4</v>
      </c>
      <c r="I15" s="14" t="s">
        <v>5</v>
      </c>
    </row>
    <row r="16" spans="1:10" ht="15.75">
      <c r="A16" s="15"/>
      <c r="B16" s="8" t="s">
        <v>55</v>
      </c>
      <c r="C16" s="9">
        <v>4.05</v>
      </c>
      <c r="D16" s="10" t="s">
        <v>4</v>
      </c>
      <c r="E16" s="11" t="s">
        <v>5</v>
      </c>
      <c r="F16" s="12" t="s">
        <v>56</v>
      </c>
      <c r="G16" s="17">
        <v>4.55</v>
      </c>
      <c r="H16" s="12" t="s">
        <v>4</v>
      </c>
      <c r="I16" s="14" t="s">
        <v>5</v>
      </c>
    </row>
    <row r="17" spans="1:9" ht="15.75">
      <c r="A17" s="15"/>
      <c r="B17" s="8" t="s">
        <v>15</v>
      </c>
      <c r="C17" s="9">
        <v>5</v>
      </c>
      <c r="D17" s="10" t="s">
        <v>4</v>
      </c>
      <c r="E17" s="10" t="s">
        <v>5</v>
      </c>
      <c r="F17" s="12" t="s">
        <v>57</v>
      </c>
      <c r="G17" s="17">
        <v>4.55</v>
      </c>
      <c r="H17" s="12" t="s">
        <v>58</v>
      </c>
      <c r="I17" s="14" t="s">
        <v>35</v>
      </c>
    </row>
    <row r="18" spans="1:9" ht="15.75">
      <c r="A18" s="15"/>
      <c r="B18" s="8" t="s">
        <v>28</v>
      </c>
      <c r="C18" s="9">
        <v>4.9400000000000004</v>
      </c>
      <c r="D18" s="10" t="s">
        <v>4</v>
      </c>
      <c r="E18" s="11" t="s">
        <v>5</v>
      </c>
      <c r="F18" s="12" t="s">
        <v>59</v>
      </c>
      <c r="G18" s="13">
        <v>4.55</v>
      </c>
      <c r="H18" s="12" t="s">
        <v>30</v>
      </c>
      <c r="I18" s="14" t="s">
        <v>5</v>
      </c>
    </row>
    <row r="19" spans="1:9" ht="15.75">
      <c r="A19" s="15"/>
      <c r="B19" s="21" t="s">
        <v>53</v>
      </c>
      <c r="C19" s="24">
        <v>4.5999999999999996</v>
      </c>
      <c r="D19" s="10" t="s">
        <v>4</v>
      </c>
      <c r="E19" s="11" t="s">
        <v>5</v>
      </c>
      <c r="F19" s="12" t="s">
        <v>60</v>
      </c>
      <c r="G19" s="13">
        <v>4.55</v>
      </c>
      <c r="H19" s="12" t="s">
        <v>30</v>
      </c>
      <c r="I19" s="14" t="s">
        <v>5</v>
      </c>
    </row>
    <row r="20" spans="1:9" ht="15.75">
      <c r="A20" s="15"/>
      <c r="B20" s="21" t="s">
        <v>34</v>
      </c>
      <c r="C20" s="24">
        <v>4.8499999999999996</v>
      </c>
      <c r="D20" s="10" t="s">
        <v>4</v>
      </c>
      <c r="E20" s="11" t="s">
        <v>35</v>
      </c>
      <c r="F20" s="12" t="s">
        <v>61</v>
      </c>
      <c r="G20" s="17">
        <v>4.53</v>
      </c>
      <c r="H20" s="12" t="s">
        <v>4</v>
      </c>
      <c r="I20" s="14" t="s">
        <v>5</v>
      </c>
    </row>
    <row r="21" spans="1:9" ht="15.75">
      <c r="A21" s="15"/>
      <c r="B21" s="21" t="s">
        <v>62</v>
      </c>
      <c r="C21" s="24">
        <v>3.75</v>
      </c>
      <c r="D21" s="10" t="s">
        <v>4</v>
      </c>
      <c r="E21" s="11" t="s">
        <v>5</v>
      </c>
      <c r="F21" s="12" t="s">
        <v>63</v>
      </c>
      <c r="G21" s="13">
        <v>4.53</v>
      </c>
      <c r="H21" s="12" t="s">
        <v>38</v>
      </c>
      <c r="I21" s="14" t="s">
        <v>5</v>
      </c>
    </row>
    <row r="22" spans="1:9" ht="15.75">
      <c r="A22" s="15"/>
      <c r="B22" s="21" t="s">
        <v>64</v>
      </c>
      <c r="C22" s="24">
        <v>3.95</v>
      </c>
      <c r="D22" s="10" t="s">
        <v>4</v>
      </c>
      <c r="E22" s="11" t="s">
        <v>5</v>
      </c>
      <c r="F22" s="12" t="s">
        <v>65</v>
      </c>
      <c r="G22" s="13">
        <v>4.53</v>
      </c>
      <c r="H22" s="12" t="s">
        <v>38</v>
      </c>
      <c r="I22" s="14" t="s">
        <v>5</v>
      </c>
    </row>
    <row r="23" spans="1:9" ht="15.75">
      <c r="A23" s="15"/>
      <c r="B23" s="8" t="s">
        <v>66</v>
      </c>
      <c r="C23" s="9">
        <v>4.1100000000000003</v>
      </c>
      <c r="D23" s="10" t="s">
        <v>4</v>
      </c>
      <c r="E23" s="11" t="s">
        <v>35</v>
      </c>
      <c r="F23" s="12" t="s">
        <v>54</v>
      </c>
      <c r="G23" s="12">
        <v>4.5</v>
      </c>
      <c r="H23" s="12" t="s">
        <v>4</v>
      </c>
      <c r="I23" s="14" t="s">
        <v>5</v>
      </c>
    </row>
    <row r="24" spans="1:9" ht="15.75">
      <c r="A24" s="15"/>
      <c r="B24" s="8" t="s">
        <v>67</v>
      </c>
      <c r="C24" s="9">
        <v>3.67</v>
      </c>
      <c r="D24" s="10" t="s">
        <v>4</v>
      </c>
      <c r="E24" s="11" t="s">
        <v>5</v>
      </c>
      <c r="F24" s="12" t="s">
        <v>68</v>
      </c>
      <c r="G24" s="17">
        <v>4.5</v>
      </c>
      <c r="H24" s="12" t="s">
        <v>48</v>
      </c>
      <c r="I24" s="14" t="s">
        <v>35</v>
      </c>
    </row>
    <row r="25" spans="1:9" ht="15.75">
      <c r="A25" s="15"/>
      <c r="B25" s="8" t="s">
        <v>69</v>
      </c>
      <c r="C25" s="9">
        <v>3.37</v>
      </c>
      <c r="D25" s="10" t="s">
        <v>4</v>
      </c>
      <c r="E25" s="11" t="s">
        <v>5</v>
      </c>
      <c r="F25" s="12" t="s">
        <v>70</v>
      </c>
      <c r="G25" s="12">
        <v>4.5</v>
      </c>
      <c r="H25" s="12" t="s">
        <v>71</v>
      </c>
      <c r="I25" s="14" t="s">
        <v>5</v>
      </c>
    </row>
    <row r="26" spans="1:9" ht="15.75">
      <c r="A26" s="15"/>
      <c r="B26" s="8" t="s">
        <v>72</v>
      </c>
      <c r="C26" s="9">
        <v>3.65</v>
      </c>
      <c r="D26" s="10" t="s">
        <v>4</v>
      </c>
      <c r="E26" s="11" t="s">
        <v>5</v>
      </c>
      <c r="F26" s="12" t="s">
        <v>54</v>
      </c>
      <c r="G26" s="12">
        <v>4.5</v>
      </c>
      <c r="H26" s="12" t="s">
        <v>30</v>
      </c>
      <c r="I26" s="14" t="s">
        <v>5</v>
      </c>
    </row>
    <row r="27" spans="1:9" ht="15.75">
      <c r="A27" s="15"/>
      <c r="B27" s="8" t="s">
        <v>56</v>
      </c>
      <c r="C27" s="9">
        <v>4.55</v>
      </c>
      <c r="D27" s="10" t="s">
        <v>4</v>
      </c>
      <c r="E27" s="11" t="s">
        <v>5</v>
      </c>
      <c r="F27" s="12" t="s">
        <v>73</v>
      </c>
      <c r="G27" s="13">
        <v>4.42</v>
      </c>
      <c r="H27" s="12" t="s">
        <v>30</v>
      </c>
      <c r="I27" s="14" t="s">
        <v>5</v>
      </c>
    </row>
    <row r="28" spans="1:9" ht="15.75">
      <c r="A28" s="15"/>
      <c r="B28" s="8" t="s">
        <v>74</v>
      </c>
      <c r="C28" s="9">
        <v>4</v>
      </c>
      <c r="D28" s="10" t="s">
        <v>4</v>
      </c>
      <c r="E28" s="11" t="s">
        <v>35</v>
      </c>
      <c r="F28" s="12" t="s">
        <v>75</v>
      </c>
      <c r="G28" s="12">
        <v>4.41</v>
      </c>
      <c r="H28" s="12" t="s">
        <v>4</v>
      </c>
      <c r="I28" s="14" t="s">
        <v>39</v>
      </c>
    </row>
    <row r="29" spans="1:9" ht="15.75">
      <c r="A29" s="15"/>
      <c r="B29" s="8" t="s">
        <v>76</v>
      </c>
      <c r="C29" s="9">
        <v>4</v>
      </c>
      <c r="D29" s="10" t="s">
        <v>4</v>
      </c>
      <c r="E29" s="11" t="s">
        <v>39</v>
      </c>
      <c r="F29" s="12" t="s">
        <v>77</v>
      </c>
      <c r="G29" s="13">
        <v>4.41</v>
      </c>
      <c r="H29" s="12" t="s">
        <v>38</v>
      </c>
      <c r="I29" s="14" t="s">
        <v>5</v>
      </c>
    </row>
    <row r="30" spans="1:9" ht="15.75">
      <c r="A30" s="15"/>
      <c r="B30" s="8" t="s">
        <v>78</v>
      </c>
      <c r="C30" s="9">
        <v>4.05</v>
      </c>
      <c r="D30" s="10" t="s">
        <v>4</v>
      </c>
      <c r="E30" s="11" t="s">
        <v>35</v>
      </c>
      <c r="F30" s="12" t="s">
        <v>79</v>
      </c>
      <c r="G30" s="13">
        <v>4.41</v>
      </c>
      <c r="H30" s="12" t="s">
        <v>30</v>
      </c>
      <c r="I30" s="14" t="s">
        <v>5</v>
      </c>
    </row>
    <row r="31" spans="1:9" ht="15.75">
      <c r="A31" s="15"/>
      <c r="B31" s="21" t="s">
        <v>80</v>
      </c>
      <c r="C31" s="24">
        <v>4</v>
      </c>
      <c r="D31" s="10" t="s">
        <v>4</v>
      </c>
      <c r="E31" s="11" t="s">
        <v>5</v>
      </c>
      <c r="F31" s="12" t="s">
        <v>51</v>
      </c>
      <c r="G31" s="12">
        <v>4.38</v>
      </c>
      <c r="H31" s="12" t="s">
        <v>4</v>
      </c>
      <c r="I31" s="14" t="s">
        <v>35</v>
      </c>
    </row>
    <row r="32" spans="1:9" ht="15.75">
      <c r="A32" s="15"/>
      <c r="B32" s="21" t="s">
        <v>81</v>
      </c>
      <c r="C32" s="24">
        <v>4.3</v>
      </c>
      <c r="D32" s="10" t="s">
        <v>4</v>
      </c>
      <c r="E32" s="11" t="s">
        <v>5</v>
      </c>
      <c r="F32" s="12" t="s">
        <v>82</v>
      </c>
      <c r="G32" s="17">
        <v>4.37</v>
      </c>
      <c r="H32" s="12" t="s">
        <v>58</v>
      </c>
      <c r="I32" s="14" t="s">
        <v>5</v>
      </c>
    </row>
    <row r="33" spans="1:9" ht="15.75">
      <c r="A33" s="15"/>
      <c r="B33" s="21" t="s">
        <v>83</v>
      </c>
      <c r="C33" s="24">
        <v>3.63</v>
      </c>
      <c r="D33" s="10" t="s">
        <v>4</v>
      </c>
      <c r="E33" s="11" t="s">
        <v>5</v>
      </c>
      <c r="F33" s="12" t="s">
        <v>84</v>
      </c>
      <c r="G33" s="13">
        <v>4.37</v>
      </c>
      <c r="H33" s="12" t="s">
        <v>4</v>
      </c>
      <c r="I33" s="14" t="s">
        <v>5</v>
      </c>
    </row>
    <row r="34" spans="1:9" ht="15.75">
      <c r="A34" s="15"/>
      <c r="B34" s="21" t="s">
        <v>85</v>
      </c>
      <c r="C34" s="24">
        <v>3.95</v>
      </c>
      <c r="D34" s="10" t="s">
        <v>4</v>
      </c>
      <c r="E34" s="11" t="s">
        <v>5</v>
      </c>
      <c r="F34" s="12" t="s">
        <v>86</v>
      </c>
      <c r="G34" s="13">
        <v>4.37</v>
      </c>
      <c r="H34" s="12" t="s">
        <v>4</v>
      </c>
      <c r="I34" s="14" t="s">
        <v>5</v>
      </c>
    </row>
    <row r="35" spans="1:9" ht="15.75">
      <c r="A35" s="15"/>
      <c r="B35" s="21" t="s">
        <v>87</v>
      </c>
      <c r="C35" s="24">
        <v>3.84</v>
      </c>
      <c r="D35" s="10" t="s">
        <v>4</v>
      </c>
      <c r="E35" s="11" t="s">
        <v>5</v>
      </c>
      <c r="F35" s="12" t="s">
        <v>88</v>
      </c>
      <c r="G35" s="12">
        <v>4.3600000000000003</v>
      </c>
      <c r="H35" s="12" t="s">
        <v>4</v>
      </c>
      <c r="I35" s="14" t="s">
        <v>5</v>
      </c>
    </row>
    <row r="36" spans="1:9" ht="15.75">
      <c r="A36" s="15"/>
      <c r="B36" s="21" t="s">
        <v>88</v>
      </c>
      <c r="C36" s="24">
        <v>4.3600000000000003</v>
      </c>
      <c r="D36" s="10" t="s">
        <v>4</v>
      </c>
      <c r="E36" s="11" t="s">
        <v>5</v>
      </c>
      <c r="F36" s="15" t="s">
        <v>89</v>
      </c>
      <c r="G36" s="12">
        <v>4.3600000000000003</v>
      </c>
      <c r="H36" s="12" t="s">
        <v>4</v>
      </c>
      <c r="I36" s="14" t="s">
        <v>39</v>
      </c>
    </row>
    <row r="37" spans="1:9" ht="15.75">
      <c r="A37" s="15"/>
      <c r="B37" s="21" t="s">
        <v>90</v>
      </c>
      <c r="C37" s="24">
        <v>3.5</v>
      </c>
      <c r="D37" s="10" t="s">
        <v>4</v>
      </c>
      <c r="E37" s="11" t="s">
        <v>5</v>
      </c>
      <c r="F37" s="12" t="s">
        <v>91</v>
      </c>
      <c r="G37" s="17">
        <v>4.3600000000000003</v>
      </c>
      <c r="H37" s="12" t="s">
        <v>4</v>
      </c>
      <c r="I37" s="14" t="s">
        <v>5</v>
      </c>
    </row>
    <row r="38" spans="1:9" ht="15.75">
      <c r="A38" s="15"/>
      <c r="B38" s="8" t="s">
        <v>92</v>
      </c>
      <c r="C38" s="9">
        <v>3.5</v>
      </c>
      <c r="D38" s="10" t="s">
        <v>4</v>
      </c>
      <c r="E38" s="11" t="s">
        <v>5</v>
      </c>
      <c r="F38" s="12" t="s">
        <v>93</v>
      </c>
      <c r="G38" s="12">
        <v>4.3600000000000003</v>
      </c>
      <c r="H38" s="12" t="s">
        <v>48</v>
      </c>
      <c r="I38" s="14" t="s">
        <v>5</v>
      </c>
    </row>
    <row r="39" spans="1:9" ht="15.75">
      <c r="A39" s="15"/>
      <c r="B39" s="8" t="s">
        <v>94</v>
      </c>
      <c r="C39" s="9">
        <v>3.89</v>
      </c>
      <c r="D39" s="10" t="s">
        <v>4</v>
      </c>
      <c r="E39" s="11" t="s">
        <v>5</v>
      </c>
      <c r="F39" s="12" t="s">
        <v>95</v>
      </c>
      <c r="G39" s="17">
        <v>4.3600000000000003</v>
      </c>
      <c r="H39" s="12" t="s">
        <v>58</v>
      </c>
      <c r="I39" s="14" t="s">
        <v>5</v>
      </c>
    </row>
    <row r="40" spans="1:9" ht="15.75">
      <c r="A40" s="15"/>
      <c r="B40" s="21" t="s">
        <v>96</v>
      </c>
      <c r="C40" s="24">
        <v>4.0999999999999996</v>
      </c>
      <c r="D40" s="10" t="s">
        <v>4</v>
      </c>
      <c r="E40" s="11" t="s">
        <v>35</v>
      </c>
      <c r="F40" s="12" t="s">
        <v>97</v>
      </c>
      <c r="G40" s="17">
        <v>4.3600000000000003</v>
      </c>
      <c r="H40" s="12" t="s">
        <v>38</v>
      </c>
      <c r="I40" s="14" t="s">
        <v>5</v>
      </c>
    </row>
    <row r="41" spans="1:9" ht="15.75">
      <c r="A41" s="15"/>
      <c r="B41" s="21" t="s">
        <v>98</v>
      </c>
      <c r="C41" s="24">
        <v>4</v>
      </c>
      <c r="D41" s="10" t="s">
        <v>4</v>
      </c>
      <c r="E41" s="10" t="s">
        <v>5</v>
      </c>
      <c r="F41" s="12" t="s">
        <v>99</v>
      </c>
      <c r="G41" s="12">
        <v>4.33</v>
      </c>
      <c r="H41" s="12" t="s">
        <v>4</v>
      </c>
      <c r="I41" s="14" t="s">
        <v>39</v>
      </c>
    </row>
    <row r="42" spans="1:9" ht="15.75">
      <c r="A42" s="15"/>
      <c r="B42" s="8" t="s">
        <v>100</v>
      </c>
      <c r="C42" s="9">
        <v>3.85</v>
      </c>
      <c r="D42" s="10" t="s">
        <v>4</v>
      </c>
      <c r="E42" s="11" t="s">
        <v>5</v>
      </c>
      <c r="F42" s="12" t="s">
        <v>101</v>
      </c>
      <c r="G42" s="13">
        <v>4.33</v>
      </c>
      <c r="H42" s="12" t="s">
        <v>102</v>
      </c>
      <c r="I42" s="14" t="s">
        <v>5</v>
      </c>
    </row>
    <row r="43" spans="1:9" ht="15.75">
      <c r="A43" s="15"/>
      <c r="B43" s="21" t="s">
        <v>72</v>
      </c>
      <c r="C43" s="24">
        <v>3.65</v>
      </c>
      <c r="D43" s="10" t="s">
        <v>4</v>
      </c>
      <c r="E43" s="11" t="s">
        <v>5</v>
      </c>
      <c r="F43" s="12" t="s">
        <v>103</v>
      </c>
      <c r="G43" s="13">
        <v>4.33</v>
      </c>
      <c r="H43" s="12" t="s">
        <v>30</v>
      </c>
      <c r="I43" s="14" t="s">
        <v>5</v>
      </c>
    </row>
    <row r="44" spans="1:9" ht="15.75">
      <c r="A44" s="15"/>
      <c r="B44" s="8" t="s">
        <v>104</v>
      </c>
      <c r="C44" s="28">
        <v>3.84</v>
      </c>
      <c r="D44" s="10" t="s">
        <v>4</v>
      </c>
      <c r="E44" s="11" t="s">
        <v>39</v>
      </c>
      <c r="F44" s="12" t="s">
        <v>105</v>
      </c>
      <c r="G44" s="12">
        <v>4.3099999999999996</v>
      </c>
      <c r="H44" s="12" t="s">
        <v>4</v>
      </c>
      <c r="I44" s="14" t="s">
        <v>5</v>
      </c>
    </row>
    <row r="45" spans="1:9" ht="15.75">
      <c r="A45" s="15"/>
      <c r="B45" s="21" t="s">
        <v>106</v>
      </c>
      <c r="C45" s="24">
        <v>3.27</v>
      </c>
      <c r="D45" s="10" t="s">
        <v>4</v>
      </c>
      <c r="E45" s="11" t="s">
        <v>5</v>
      </c>
      <c r="F45" s="12" t="s">
        <v>107</v>
      </c>
      <c r="G45" s="12">
        <v>4.3099999999999996</v>
      </c>
      <c r="H45" s="12" t="s">
        <v>48</v>
      </c>
      <c r="I45" s="14" t="s">
        <v>35</v>
      </c>
    </row>
    <row r="46" spans="1:9" ht="15.75">
      <c r="A46" s="15"/>
      <c r="B46" s="21" t="s">
        <v>108</v>
      </c>
      <c r="C46" s="24">
        <v>4.0999999999999996</v>
      </c>
      <c r="D46" s="10" t="s">
        <v>4</v>
      </c>
      <c r="E46" s="11" t="s">
        <v>5</v>
      </c>
      <c r="F46" s="12" t="s">
        <v>109</v>
      </c>
      <c r="G46" s="12">
        <v>4.3099999999999996</v>
      </c>
      <c r="H46" s="12" t="s">
        <v>48</v>
      </c>
      <c r="I46" s="14" t="s">
        <v>5</v>
      </c>
    </row>
    <row r="47" spans="1:9" ht="15.75">
      <c r="A47" s="15"/>
      <c r="B47" s="21" t="s">
        <v>110</v>
      </c>
      <c r="C47" s="24">
        <v>3.44</v>
      </c>
      <c r="D47" s="10" t="s">
        <v>4</v>
      </c>
      <c r="E47" s="11" t="s">
        <v>5</v>
      </c>
      <c r="F47" s="12" t="s">
        <v>111</v>
      </c>
      <c r="G47" s="13">
        <v>4.3099999999999996</v>
      </c>
      <c r="H47" s="12" t="s">
        <v>30</v>
      </c>
      <c r="I47" s="14" t="s">
        <v>5</v>
      </c>
    </row>
    <row r="48" spans="1:9" ht="15.75">
      <c r="A48" s="15"/>
      <c r="B48" s="21" t="s">
        <v>112</v>
      </c>
      <c r="C48" s="24">
        <v>4.05</v>
      </c>
      <c r="D48" s="10" t="s">
        <v>4</v>
      </c>
      <c r="E48" s="11" t="s">
        <v>5</v>
      </c>
      <c r="F48" s="12" t="s">
        <v>105</v>
      </c>
      <c r="G48" s="13">
        <v>4.3099999999999996</v>
      </c>
      <c r="H48" s="12" t="s">
        <v>4</v>
      </c>
      <c r="I48" s="14" t="s">
        <v>35</v>
      </c>
    </row>
    <row r="49" spans="1:9" ht="15.75">
      <c r="A49" s="15"/>
      <c r="B49" s="21" t="s">
        <v>105</v>
      </c>
      <c r="C49" s="24">
        <v>4.3099999999999996</v>
      </c>
      <c r="D49" s="10" t="s">
        <v>4</v>
      </c>
      <c r="E49" s="11" t="s">
        <v>5</v>
      </c>
      <c r="F49" s="12" t="s">
        <v>81</v>
      </c>
      <c r="G49" s="12">
        <v>4.3</v>
      </c>
      <c r="H49" s="12" t="s">
        <v>4</v>
      </c>
      <c r="I49" s="14" t="s">
        <v>5</v>
      </c>
    </row>
    <row r="50" spans="1:9" ht="15.75">
      <c r="A50" s="15"/>
      <c r="B50" s="21" t="s">
        <v>113</v>
      </c>
      <c r="C50" s="24">
        <v>3.94</v>
      </c>
      <c r="D50" s="10" t="s">
        <v>4</v>
      </c>
      <c r="E50" s="11" t="s">
        <v>39</v>
      </c>
      <c r="F50" s="12" t="s">
        <v>114</v>
      </c>
      <c r="G50" s="12">
        <v>4.3</v>
      </c>
      <c r="H50" s="12" t="s">
        <v>30</v>
      </c>
      <c r="I50" s="14" t="s">
        <v>5</v>
      </c>
    </row>
    <row r="51" spans="1:9" ht="15.75">
      <c r="A51" s="15"/>
      <c r="B51" s="21" t="s">
        <v>89</v>
      </c>
      <c r="C51" s="24">
        <v>4.3600000000000003</v>
      </c>
      <c r="D51" s="10" t="s">
        <v>4</v>
      </c>
      <c r="E51" s="11" t="s">
        <v>39</v>
      </c>
      <c r="F51" s="12" t="s">
        <v>115</v>
      </c>
      <c r="G51" s="13">
        <v>4.3</v>
      </c>
      <c r="H51" s="12" t="s">
        <v>4</v>
      </c>
      <c r="I51" s="14" t="s">
        <v>39</v>
      </c>
    </row>
    <row r="52" spans="1:9" ht="15.75">
      <c r="A52" s="15"/>
      <c r="B52" s="21" t="s">
        <v>116</v>
      </c>
      <c r="C52" s="24">
        <v>0</v>
      </c>
      <c r="D52" s="10" t="s">
        <v>4</v>
      </c>
      <c r="E52" s="11" t="s">
        <v>5</v>
      </c>
      <c r="F52" s="12" t="s">
        <v>117</v>
      </c>
      <c r="G52" s="13">
        <v>4.29</v>
      </c>
      <c r="H52" s="12" t="s">
        <v>4</v>
      </c>
      <c r="I52" s="14" t="s">
        <v>35</v>
      </c>
    </row>
    <row r="53" spans="1:9" ht="15.75">
      <c r="A53" s="15"/>
      <c r="B53" s="8" t="s">
        <v>43</v>
      </c>
      <c r="C53" s="9">
        <v>4.7300000000000004</v>
      </c>
      <c r="D53" s="10" t="s">
        <v>4</v>
      </c>
      <c r="E53" s="11" t="s">
        <v>5</v>
      </c>
      <c r="F53" s="12" t="s">
        <v>118</v>
      </c>
      <c r="G53" s="13">
        <v>4.28</v>
      </c>
      <c r="H53" s="12" t="s">
        <v>4</v>
      </c>
      <c r="I53" s="14" t="s">
        <v>5</v>
      </c>
    </row>
    <row r="54" spans="1:9" ht="15.75">
      <c r="A54" s="15"/>
      <c r="B54" s="21" t="s">
        <v>119</v>
      </c>
      <c r="C54" s="24">
        <v>3.94</v>
      </c>
      <c r="D54" s="10" t="s">
        <v>4</v>
      </c>
      <c r="E54" s="11" t="s">
        <v>39</v>
      </c>
      <c r="F54" s="12" t="s">
        <v>118</v>
      </c>
      <c r="G54" s="13">
        <v>4.28</v>
      </c>
      <c r="H54" s="12" t="s">
        <v>38</v>
      </c>
      <c r="I54" s="14" t="s">
        <v>5</v>
      </c>
    </row>
    <row r="55" spans="1:9" ht="15.75">
      <c r="A55" s="15"/>
      <c r="B55" s="21" t="s">
        <v>120</v>
      </c>
      <c r="C55" s="24">
        <v>3.55</v>
      </c>
      <c r="D55" s="10" t="s">
        <v>4</v>
      </c>
      <c r="E55" s="11" t="s">
        <v>5</v>
      </c>
      <c r="F55" s="12" t="s">
        <v>121</v>
      </c>
      <c r="G55" s="12">
        <v>4.2699999999999996</v>
      </c>
      <c r="H55" s="12" t="s">
        <v>48</v>
      </c>
      <c r="I55" s="14" t="s">
        <v>5</v>
      </c>
    </row>
    <row r="56" spans="1:9" ht="15.75">
      <c r="A56" s="15"/>
      <c r="B56" s="8" t="s">
        <v>122</v>
      </c>
      <c r="C56" s="9">
        <v>3.88</v>
      </c>
      <c r="D56" s="10" t="s">
        <v>4</v>
      </c>
      <c r="E56" s="11" t="s">
        <v>5</v>
      </c>
      <c r="F56" s="12" t="s">
        <v>123</v>
      </c>
      <c r="G56" s="12">
        <v>4.2699999999999996</v>
      </c>
      <c r="H56" s="12" t="s">
        <v>71</v>
      </c>
      <c r="I56" s="14" t="s">
        <v>5</v>
      </c>
    </row>
    <row r="57" spans="1:9" ht="15.75">
      <c r="A57" s="15"/>
      <c r="B57" s="21" t="s">
        <v>124</v>
      </c>
      <c r="C57" s="24">
        <v>3.83</v>
      </c>
      <c r="D57" s="10" t="s">
        <v>4</v>
      </c>
      <c r="E57" s="11" t="s">
        <v>5</v>
      </c>
      <c r="F57" s="12" t="s">
        <v>125</v>
      </c>
      <c r="G57" s="12">
        <v>4.2699999999999996</v>
      </c>
      <c r="H57" s="12" t="s">
        <v>71</v>
      </c>
      <c r="I57" s="14" t="s">
        <v>5</v>
      </c>
    </row>
    <row r="58" spans="1:9" ht="15.75">
      <c r="A58" s="15"/>
      <c r="B58" s="21" t="s">
        <v>126</v>
      </c>
      <c r="C58" s="24">
        <v>3.42</v>
      </c>
      <c r="D58" s="10" t="s">
        <v>4</v>
      </c>
      <c r="E58" s="11" t="s">
        <v>5</v>
      </c>
      <c r="F58" s="12" t="s">
        <v>127</v>
      </c>
      <c r="G58" s="12">
        <v>4.26</v>
      </c>
      <c r="H58" s="12" t="s">
        <v>48</v>
      </c>
      <c r="I58" s="14" t="s">
        <v>5</v>
      </c>
    </row>
    <row r="59" spans="1:9" ht="15.75">
      <c r="A59" s="15"/>
      <c r="B59" s="21" t="s">
        <v>128</v>
      </c>
      <c r="C59" s="24">
        <v>3.47</v>
      </c>
      <c r="D59" s="10" t="s">
        <v>4</v>
      </c>
      <c r="E59" s="11" t="s">
        <v>5</v>
      </c>
      <c r="F59" s="12" t="s">
        <v>129</v>
      </c>
      <c r="G59" s="12">
        <v>4.26</v>
      </c>
      <c r="H59" s="12" t="s">
        <v>48</v>
      </c>
      <c r="I59" s="14" t="s">
        <v>5</v>
      </c>
    </row>
    <row r="60" spans="1:9" ht="15.75">
      <c r="A60" s="15"/>
      <c r="B60" s="8" t="s">
        <v>130</v>
      </c>
      <c r="C60" s="9">
        <v>3.47</v>
      </c>
      <c r="D60" s="10" t="s">
        <v>4</v>
      </c>
      <c r="E60" s="11" t="s">
        <v>5</v>
      </c>
      <c r="F60" s="12" t="s">
        <v>131</v>
      </c>
      <c r="G60" s="12">
        <v>4.26</v>
      </c>
      <c r="H60" s="12" t="s">
        <v>71</v>
      </c>
      <c r="I60" s="14" t="s">
        <v>5</v>
      </c>
    </row>
    <row r="61" spans="1:9" ht="15.75">
      <c r="A61" s="15"/>
      <c r="B61" s="21" t="s">
        <v>132</v>
      </c>
      <c r="C61" s="24">
        <v>4</v>
      </c>
      <c r="D61" s="10" t="s">
        <v>4</v>
      </c>
      <c r="E61" s="11" t="s">
        <v>35</v>
      </c>
      <c r="F61" s="12" t="s">
        <v>131</v>
      </c>
      <c r="G61" s="17">
        <v>4.26</v>
      </c>
      <c r="H61" s="12" t="s">
        <v>38</v>
      </c>
      <c r="I61" s="14" t="s">
        <v>5</v>
      </c>
    </row>
    <row r="62" spans="1:9" ht="15.75">
      <c r="A62" s="15"/>
      <c r="B62" s="21" t="s">
        <v>133</v>
      </c>
      <c r="C62" s="24">
        <v>3.94</v>
      </c>
      <c r="D62" s="10" t="s">
        <v>4</v>
      </c>
      <c r="E62" s="11" t="s">
        <v>35</v>
      </c>
      <c r="F62" s="12" t="s">
        <v>134</v>
      </c>
      <c r="G62" s="13">
        <v>4.26</v>
      </c>
      <c r="H62" s="12" t="s">
        <v>30</v>
      </c>
      <c r="I62" s="14" t="s">
        <v>39</v>
      </c>
    </row>
    <row r="63" spans="1:9" ht="15.75">
      <c r="A63" s="15"/>
      <c r="B63" s="21" t="s">
        <v>128</v>
      </c>
      <c r="C63" s="24">
        <v>3.94</v>
      </c>
      <c r="D63" s="10" t="s">
        <v>4</v>
      </c>
      <c r="E63" s="11" t="s">
        <v>5</v>
      </c>
      <c r="F63" s="12" t="s">
        <v>135</v>
      </c>
      <c r="G63" s="17">
        <v>4.25</v>
      </c>
      <c r="H63" s="12" t="s">
        <v>4</v>
      </c>
      <c r="I63" s="14" t="s">
        <v>39</v>
      </c>
    </row>
    <row r="64" spans="1:9" ht="15.75">
      <c r="A64" s="15"/>
      <c r="B64" s="8" t="s">
        <v>91</v>
      </c>
      <c r="C64" s="9">
        <v>4.3600000000000003</v>
      </c>
      <c r="D64" s="10" t="s">
        <v>4</v>
      </c>
      <c r="E64" s="11" t="s">
        <v>5</v>
      </c>
      <c r="F64" s="12" t="s">
        <v>136</v>
      </c>
      <c r="G64" s="13">
        <v>4.25</v>
      </c>
      <c r="H64" s="12" t="s">
        <v>30</v>
      </c>
      <c r="I64" s="14" t="s">
        <v>5</v>
      </c>
    </row>
    <row r="65" spans="1:9" ht="15.75">
      <c r="A65" s="15"/>
      <c r="B65" s="21" t="s">
        <v>137</v>
      </c>
      <c r="C65" s="24">
        <v>3.95</v>
      </c>
      <c r="D65" s="10" t="s">
        <v>4</v>
      </c>
      <c r="E65" s="11" t="s">
        <v>35</v>
      </c>
      <c r="F65" s="12" t="s">
        <v>138</v>
      </c>
      <c r="G65" s="13">
        <v>4.25</v>
      </c>
      <c r="H65" s="12" t="s">
        <v>38</v>
      </c>
      <c r="I65" s="14" t="s">
        <v>5</v>
      </c>
    </row>
    <row r="66" spans="1:9" ht="15.75">
      <c r="A66" s="15"/>
      <c r="B66" s="21" t="s">
        <v>139</v>
      </c>
      <c r="C66" s="24">
        <v>3.88</v>
      </c>
      <c r="D66" s="10" t="s">
        <v>4</v>
      </c>
      <c r="E66" s="11" t="s">
        <v>5</v>
      </c>
      <c r="F66" s="12" t="s">
        <v>140</v>
      </c>
      <c r="G66" s="17">
        <v>4.24</v>
      </c>
      <c r="H66" s="12" t="s">
        <v>4</v>
      </c>
      <c r="I66" s="14" t="s">
        <v>5</v>
      </c>
    </row>
    <row r="67" spans="1:9" ht="15.75">
      <c r="A67" s="15"/>
      <c r="B67" s="21" t="s">
        <v>141</v>
      </c>
      <c r="C67" s="24">
        <v>3.44</v>
      </c>
      <c r="D67" s="10" t="s">
        <v>4</v>
      </c>
      <c r="E67" s="11" t="s">
        <v>5</v>
      </c>
      <c r="F67" s="12" t="s">
        <v>142</v>
      </c>
      <c r="G67" s="13">
        <v>4.22</v>
      </c>
      <c r="H67" s="12" t="s">
        <v>38</v>
      </c>
      <c r="I67" s="14" t="s">
        <v>35</v>
      </c>
    </row>
    <row r="68" spans="1:9" ht="15.75">
      <c r="A68" s="15"/>
      <c r="B68" s="8" t="s">
        <v>143</v>
      </c>
      <c r="C68" s="9">
        <v>3.55</v>
      </c>
      <c r="D68" s="10" t="s">
        <v>4</v>
      </c>
      <c r="E68" s="11" t="s">
        <v>5</v>
      </c>
      <c r="F68" s="12" t="s">
        <v>49</v>
      </c>
      <c r="G68" s="17">
        <v>4.21</v>
      </c>
      <c r="H68" s="12" t="s">
        <v>4</v>
      </c>
      <c r="I68" s="14" t="s">
        <v>35</v>
      </c>
    </row>
    <row r="69" spans="1:9" ht="15.75">
      <c r="A69" s="15"/>
      <c r="B69" s="8" t="s">
        <v>135</v>
      </c>
      <c r="C69" s="9">
        <v>4.25</v>
      </c>
      <c r="D69" s="10" t="s">
        <v>4</v>
      </c>
      <c r="E69" s="11" t="s">
        <v>39</v>
      </c>
      <c r="F69" s="12" t="s">
        <v>144</v>
      </c>
      <c r="G69" s="17">
        <v>4.21</v>
      </c>
      <c r="H69" s="12" t="s">
        <v>4</v>
      </c>
      <c r="I69" s="14" t="s">
        <v>5</v>
      </c>
    </row>
    <row r="70" spans="1:9" ht="16.5" customHeight="1">
      <c r="A70" s="15"/>
      <c r="B70" s="8" t="s">
        <v>145</v>
      </c>
      <c r="C70" s="9">
        <v>3.94</v>
      </c>
      <c r="D70" s="10" t="s">
        <v>4</v>
      </c>
      <c r="E70" s="11" t="s">
        <v>5</v>
      </c>
      <c r="F70" s="12" t="s">
        <v>146</v>
      </c>
      <c r="G70" s="17">
        <v>4.21</v>
      </c>
      <c r="H70" s="12" t="s">
        <v>38</v>
      </c>
      <c r="I70" s="14" t="s">
        <v>5</v>
      </c>
    </row>
    <row r="71" spans="1:9" ht="15.75">
      <c r="A71" s="15"/>
      <c r="B71" s="21" t="s">
        <v>147</v>
      </c>
      <c r="C71" s="24">
        <v>3.23</v>
      </c>
      <c r="D71" s="10" t="s">
        <v>4</v>
      </c>
      <c r="E71" s="11" t="s">
        <v>5</v>
      </c>
      <c r="F71" s="12" t="s">
        <v>148</v>
      </c>
      <c r="G71" s="13">
        <v>4.21</v>
      </c>
      <c r="H71" s="12" t="s">
        <v>30</v>
      </c>
      <c r="I71" s="14" t="s">
        <v>5</v>
      </c>
    </row>
    <row r="72" spans="1:9" ht="15.75">
      <c r="A72" s="15"/>
      <c r="B72" s="8" t="s">
        <v>149</v>
      </c>
      <c r="C72" s="9">
        <v>3.52</v>
      </c>
      <c r="D72" s="10" t="s">
        <v>4</v>
      </c>
      <c r="E72" s="11" t="s">
        <v>5</v>
      </c>
      <c r="F72" s="12" t="s">
        <v>150</v>
      </c>
      <c r="G72" s="13">
        <v>4.21</v>
      </c>
      <c r="H72" s="12" t="s">
        <v>30</v>
      </c>
      <c r="I72" s="14" t="s">
        <v>5</v>
      </c>
    </row>
    <row r="73" spans="1:9" ht="15.75">
      <c r="A73" s="15"/>
      <c r="B73" s="21" t="s">
        <v>151</v>
      </c>
      <c r="C73" s="24">
        <v>3.65</v>
      </c>
      <c r="D73" s="10" t="s">
        <v>4</v>
      </c>
      <c r="E73" s="11" t="s">
        <v>5</v>
      </c>
      <c r="F73" s="12" t="s">
        <v>152</v>
      </c>
      <c r="G73" s="12">
        <v>4.2</v>
      </c>
      <c r="H73" s="12" t="s">
        <v>71</v>
      </c>
      <c r="I73" s="14" t="s">
        <v>5</v>
      </c>
    </row>
    <row r="74" spans="1:9" ht="15.75">
      <c r="A74" s="15"/>
      <c r="B74" s="21" t="s">
        <v>153</v>
      </c>
      <c r="C74" s="24">
        <v>3.52</v>
      </c>
      <c r="D74" s="10" t="s">
        <v>4</v>
      </c>
      <c r="E74" s="11" t="s">
        <v>5</v>
      </c>
      <c r="F74" s="12" t="s">
        <v>154</v>
      </c>
      <c r="G74" s="12">
        <v>4.2</v>
      </c>
      <c r="H74" s="12" t="s">
        <v>58</v>
      </c>
      <c r="I74" s="14" t="s">
        <v>39</v>
      </c>
    </row>
    <row r="75" spans="1:9" ht="19.5" customHeight="1">
      <c r="A75" s="15"/>
      <c r="B75" s="21" t="s">
        <v>155</v>
      </c>
      <c r="C75" s="24">
        <v>3.94</v>
      </c>
      <c r="D75" s="10" t="s">
        <v>4</v>
      </c>
      <c r="E75" s="11" t="s">
        <v>5</v>
      </c>
      <c r="F75" s="12" t="s">
        <v>152</v>
      </c>
      <c r="G75" s="17">
        <v>4.2</v>
      </c>
      <c r="H75" s="12" t="s">
        <v>58</v>
      </c>
      <c r="I75" s="14" t="s">
        <v>5</v>
      </c>
    </row>
    <row r="76" spans="1:9" ht="15.75">
      <c r="A76" s="15"/>
      <c r="B76" s="8" t="s">
        <v>156</v>
      </c>
      <c r="C76" s="9">
        <v>3.74</v>
      </c>
      <c r="D76" s="10" t="s">
        <v>4</v>
      </c>
      <c r="E76" s="11" t="s">
        <v>5</v>
      </c>
      <c r="F76" s="12" t="s">
        <v>157</v>
      </c>
      <c r="G76" s="12">
        <v>4.2</v>
      </c>
      <c r="H76" s="12" t="s">
        <v>58</v>
      </c>
      <c r="I76" s="14" t="s">
        <v>5</v>
      </c>
    </row>
    <row r="77" spans="1:9" ht="19.5" customHeight="1">
      <c r="A77" s="15"/>
      <c r="B77" s="21" t="s">
        <v>158</v>
      </c>
      <c r="C77" s="24">
        <v>4.1100000000000003</v>
      </c>
      <c r="D77" s="10" t="s">
        <v>4</v>
      </c>
      <c r="E77" s="11" t="s">
        <v>35</v>
      </c>
      <c r="F77" s="12" t="s">
        <v>159</v>
      </c>
      <c r="G77" s="12">
        <v>4.16</v>
      </c>
      <c r="H77" s="12" t="s">
        <v>4</v>
      </c>
      <c r="I77" s="14" t="s">
        <v>35</v>
      </c>
    </row>
    <row r="78" spans="1:9" ht="21" customHeight="1">
      <c r="A78" s="15"/>
      <c r="B78" s="21" t="s">
        <v>160</v>
      </c>
      <c r="C78" s="24">
        <v>3.55</v>
      </c>
      <c r="D78" s="10" t="s">
        <v>4</v>
      </c>
      <c r="E78" s="11" t="s">
        <v>5</v>
      </c>
      <c r="F78" s="12" t="s">
        <v>161</v>
      </c>
      <c r="G78" s="12">
        <v>4.16</v>
      </c>
      <c r="H78" s="12" t="s">
        <v>71</v>
      </c>
      <c r="I78" s="14" t="s">
        <v>5</v>
      </c>
    </row>
    <row r="79" spans="1:9" ht="20.25" customHeight="1">
      <c r="A79" s="15"/>
      <c r="B79" s="21" t="s">
        <v>162</v>
      </c>
      <c r="C79" s="24">
        <v>3.21</v>
      </c>
      <c r="D79" s="10" t="s">
        <v>4</v>
      </c>
      <c r="E79" s="11" t="s">
        <v>5</v>
      </c>
      <c r="F79" s="12" t="s">
        <v>163</v>
      </c>
      <c r="G79" s="13">
        <v>4.16</v>
      </c>
      <c r="H79" s="12" t="s">
        <v>38</v>
      </c>
      <c r="I79" s="14" t="s">
        <v>5</v>
      </c>
    </row>
    <row r="80" spans="1:9" ht="21" customHeight="1">
      <c r="A80" s="15"/>
      <c r="B80" s="8" t="s">
        <v>164</v>
      </c>
      <c r="C80" s="9">
        <v>3.36</v>
      </c>
      <c r="D80" s="10" t="s">
        <v>4</v>
      </c>
      <c r="E80" s="11" t="s">
        <v>5</v>
      </c>
      <c r="F80" s="12" t="s">
        <v>165</v>
      </c>
      <c r="G80" s="13">
        <v>4.16</v>
      </c>
      <c r="H80" s="12" t="s">
        <v>102</v>
      </c>
      <c r="I80" s="14" t="s">
        <v>5</v>
      </c>
    </row>
    <row r="81" spans="1:9" ht="17.25" customHeight="1">
      <c r="A81" s="15"/>
      <c r="B81" s="21" t="s">
        <v>99</v>
      </c>
      <c r="C81" s="24">
        <v>4.33</v>
      </c>
      <c r="D81" s="10" t="s">
        <v>4</v>
      </c>
      <c r="E81" s="11" t="s">
        <v>39</v>
      </c>
      <c r="F81" s="12" t="s">
        <v>166</v>
      </c>
      <c r="G81" s="17">
        <v>4.1500000000000004</v>
      </c>
      <c r="H81" s="12" t="s">
        <v>4</v>
      </c>
      <c r="I81" s="14" t="s">
        <v>5</v>
      </c>
    </row>
    <row r="82" spans="1:9" ht="18" customHeight="1">
      <c r="A82" s="15"/>
      <c r="B82" s="21" t="s">
        <v>167</v>
      </c>
      <c r="C82" s="24">
        <v>3.55</v>
      </c>
      <c r="D82" s="10" t="s">
        <v>4</v>
      </c>
      <c r="E82" s="11" t="s">
        <v>5</v>
      </c>
      <c r="F82" s="12" t="s">
        <v>168</v>
      </c>
      <c r="G82" s="17">
        <v>4.1500000000000004</v>
      </c>
      <c r="H82" s="12" t="s">
        <v>4</v>
      </c>
      <c r="I82" s="14" t="s">
        <v>5</v>
      </c>
    </row>
    <row r="83" spans="1:9" ht="15.75">
      <c r="A83" s="15"/>
      <c r="B83" s="8" t="s">
        <v>169</v>
      </c>
      <c r="C83" s="9">
        <v>3.9</v>
      </c>
      <c r="D83" s="10" t="s">
        <v>4</v>
      </c>
      <c r="E83" s="11" t="s">
        <v>5</v>
      </c>
      <c r="F83" s="12" t="s">
        <v>170</v>
      </c>
      <c r="G83" s="12">
        <v>4.1500000000000004</v>
      </c>
      <c r="H83" s="12" t="s">
        <v>48</v>
      </c>
      <c r="I83" s="14" t="s">
        <v>5</v>
      </c>
    </row>
    <row r="84" spans="1:9" ht="15.75">
      <c r="A84" s="15"/>
      <c r="B84" s="8" t="s">
        <v>166</v>
      </c>
      <c r="C84" s="9">
        <v>4.1500000000000004</v>
      </c>
      <c r="D84" s="10" t="s">
        <v>4</v>
      </c>
      <c r="E84" s="11" t="s">
        <v>5</v>
      </c>
      <c r="F84" s="12" t="s">
        <v>171</v>
      </c>
      <c r="G84" s="17">
        <v>4.1500000000000004</v>
      </c>
      <c r="H84" s="12" t="s">
        <v>48</v>
      </c>
      <c r="I84" s="14" t="s">
        <v>5</v>
      </c>
    </row>
    <row r="85" spans="1:9" ht="15.75">
      <c r="A85" s="15"/>
      <c r="B85" s="21" t="s">
        <v>172</v>
      </c>
      <c r="C85" s="24">
        <v>3.76</v>
      </c>
      <c r="D85" s="10" t="s">
        <v>4</v>
      </c>
      <c r="E85" s="11" t="s">
        <v>35</v>
      </c>
      <c r="F85" s="12" t="s">
        <v>173</v>
      </c>
      <c r="G85" s="12">
        <v>4.1500000000000004</v>
      </c>
      <c r="H85" s="12" t="s">
        <v>48</v>
      </c>
      <c r="I85" s="14" t="s">
        <v>5</v>
      </c>
    </row>
    <row r="86" spans="1:9" ht="15.75">
      <c r="A86" s="15"/>
      <c r="B86" s="8" t="s">
        <v>174</v>
      </c>
      <c r="C86" s="9">
        <v>3.21</v>
      </c>
      <c r="D86" s="10" t="s">
        <v>4</v>
      </c>
      <c r="E86" s="11" t="s">
        <v>5</v>
      </c>
      <c r="F86" s="12" t="s">
        <v>175</v>
      </c>
      <c r="G86" s="13">
        <v>4.1500000000000004</v>
      </c>
      <c r="H86" s="12" t="s">
        <v>30</v>
      </c>
      <c r="I86" s="14" t="s">
        <v>5</v>
      </c>
    </row>
    <row r="87" spans="1:9" ht="15.75">
      <c r="A87" s="15"/>
      <c r="B87" s="21" t="s">
        <v>176</v>
      </c>
      <c r="C87" s="24">
        <v>3.84</v>
      </c>
      <c r="D87" s="10" t="s">
        <v>4</v>
      </c>
      <c r="E87" s="11" t="s">
        <v>5</v>
      </c>
      <c r="F87" s="12" t="s">
        <v>177</v>
      </c>
      <c r="G87" s="13">
        <v>4.1500000000000004</v>
      </c>
      <c r="H87" s="12" t="s">
        <v>30</v>
      </c>
      <c r="I87" s="14" t="s">
        <v>5</v>
      </c>
    </row>
    <row r="88" spans="1:9" ht="15.75">
      <c r="A88" s="15"/>
      <c r="B88" s="21" t="s">
        <v>178</v>
      </c>
      <c r="C88" s="24">
        <v>4.05</v>
      </c>
      <c r="D88" s="10" t="s">
        <v>4</v>
      </c>
      <c r="E88" s="11" t="s">
        <v>35</v>
      </c>
      <c r="F88" s="12" t="s">
        <v>179</v>
      </c>
      <c r="G88" s="13">
        <v>4.1500000000000004</v>
      </c>
      <c r="H88" s="12" t="s">
        <v>30</v>
      </c>
      <c r="I88" s="14" t="s">
        <v>5</v>
      </c>
    </row>
    <row r="89" spans="1:9" ht="15.75">
      <c r="A89" s="15"/>
      <c r="B89" s="21" t="s">
        <v>180</v>
      </c>
      <c r="C89" s="24">
        <v>3.25</v>
      </c>
      <c r="D89" s="10" t="s">
        <v>4</v>
      </c>
      <c r="E89" s="11" t="s">
        <v>5</v>
      </c>
      <c r="F89" s="12" t="s">
        <v>181</v>
      </c>
      <c r="G89" s="12">
        <v>4.12</v>
      </c>
      <c r="H89" s="12" t="s">
        <v>4</v>
      </c>
      <c r="I89" s="14" t="s">
        <v>5</v>
      </c>
    </row>
    <row r="90" spans="1:9" ht="15.75">
      <c r="A90" s="15"/>
      <c r="B90" s="21" t="s">
        <v>182</v>
      </c>
      <c r="C90" s="24">
        <v>3.31</v>
      </c>
      <c r="D90" s="10" t="s">
        <v>4</v>
      </c>
      <c r="E90" s="11" t="s">
        <v>5</v>
      </c>
      <c r="F90" s="12" t="s">
        <v>183</v>
      </c>
      <c r="G90" s="17">
        <v>4.12</v>
      </c>
      <c r="H90" s="12" t="s">
        <v>48</v>
      </c>
      <c r="I90" s="14" t="s">
        <v>5</v>
      </c>
    </row>
    <row r="91" spans="1:9" ht="17.25" customHeight="1">
      <c r="A91" s="15"/>
      <c r="B91" s="21" t="s">
        <v>184</v>
      </c>
      <c r="C91" s="24">
        <v>4.05</v>
      </c>
      <c r="D91" s="10" t="s">
        <v>4</v>
      </c>
      <c r="E91" s="11" t="s">
        <v>5</v>
      </c>
      <c r="F91" s="12" t="s">
        <v>185</v>
      </c>
      <c r="G91" s="13">
        <v>4.12</v>
      </c>
      <c r="H91" s="12" t="s">
        <v>38</v>
      </c>
      <c r="I91" s="14" t="s">
        <v>5</v>
      </c>
    </row>
    <row r="92" spans="1:9" ht="15.75">
      <c r="A92" s="15"/>
      <c r="B92" s="21" t="s">
        <v>186</v>
      </c>
      <c r="C92" s="24">
        <v>3.68</v>
      </c>
      <c r="D92" s="10" t="s">
        <v>4</v>
      </c>
      <c r="E92" s="11" t="s">
        <v>5</v>
      </c>
      <c r="F92" s="12" t="s">
        <v>187</v>
      </c>
      <c r="G92" s="13">
        <v>4.12</v>
      </c>
      <c r="H92" s="12" t="s">
        <v>4</v>
      </c>
      <c r="I92" s="14" t="s">
        <v>39</v>
      </c>
    </row>
    <row r="93" spans="1:9" ht="15.75">
      <c r="A93" s="15"/>
      <c r="B93" s="8" t="s">
        <v>188</v>
      </c>
      <c r="C93" s="9">
        <v>3.72</v>
      </c>
      <c r="D93" s="10" t="s">
        <v>4</v>
      </c>
      <c r="E93" s="11" t="s">
        <v>5</v>
      </c>
      <c r="F93" s="12" t="s">
        <v>66</v>
      </c>
      <c r="G93" s="17">
        <v>4.1100000000000003</v>
      </c>
      <c r="H93" s="12" t="s">
        <v>4</v>
      </c>
      <c r="I93" s="14" t="s">
        <v>35</v>
      </c>
    </row>
    <row r="94" spans="1:9" ht="15.75">
      <c r="A94" s="15"/>
      <c r="B94" s="8" t="s">
        <v>189</v>
      </c>
      <c r="C94" s="9">
        <v>3.59</v>
      </c>
      <c r="D94" s="10" t="s">
        <v>4</v>
      </c>
      <c r="E94" s="11" t="s">
        <v>5</v>
      </c>
      <c r="F94" s="12" t="s">
        <v>158</v>
      </c>
      <c r="G94" s="12">
        <v>4.1100000000000003</v>
      </c>
      <c r="H94" s="12" t="s">
        <v>4</v>
      </c>
      <c r="I94" s="14" t="s">
        <v>35</v>
      </c>
    </row>
    <row r="95" spans="1:9" ht="15.75">
      <c r="A95" s="15"/>
      <c r="B95" s="21" t="s">
        <v>190</v>
      </c>
      <c r="C95" s="24">
        <v>3.89</v>
      </c>
      <c r="D95" s="10" t="s">
        <v>4</v>
      </c>
      <c r="E95" s="11" t="s">
        <v>5</v>
      </c>
      <c r="F95" s="12" t="s">
        <v>191</v>
      </c>
      <c r="G95" s="17">
        <v>4.1100000000000003</v>
      </c>
      <c r="H95" s="12" t="s">
        <v>48</v>
      </c>
      <c r="I95" s="14" t="s">
        <v>5</v>
      </c>
    </row>
    <row r="96" spans="1:9" ht="15.75">
      <c r="A96" s="15"/>
      <c r="B96" s="21" t="s">
        <v>192</v>
      </c>
      <c r="C96" s="24">
        <v>3.83</v>
      </c>
      <c r="D96" s="10" t="s">
        <v>4</v>
      </c>
      <c r="E96" s="11" t="s">
        <v>5</v>
      </c>
      <c r="F96" s="12" t="s">
        <v>193</v>
      </c>
      <c r="G96" s="17">
        <v>4.1100000000000003</v>
      </c>
      <c r="H96" s="12" t="s">
        <v>48</v>
      </c>
      <c r="I96" s="14" t="s">
        <v>5</v>
      </c>
    </row>
    <row r="97" spans="1:9" ht="15.75">
      <c r="A97" s="15"/>
      <c r="B97" s="8" t="s">
        <v>194</v>
      </c>
      <c r="C97" s="9">
        <v>3.44</v>
      </c>
      <c r="D97" s="10" t="s">
        <v>4</v>
      </c>
      <c r="E97" s="11" t="s">
        <v>5</v>
      </c>
      <c r="F97" s="12" t="s">
        <v>195</v>
      </c>
      <c r="G97" s="12">
        <v>4.1100000000000003</v>
      </c>
      <c r="H97" s="12" t="s">
        <v>71</v>
      </c>
      <c r="I97" s="14" t="s">
        <v>5</v>
      </c>
    </row>
    <row r="98" spans="1:9" ht="15.75">
      <c r="A98" s="15"/>
      <c r="B98" s="8" t="s">
        <v>196</v>
      </c>
      <c r="C98" s="9">
        <v>3.63</v>
      </c>
      <c r="D98" s="10" t="s">
        <v>4</v>
      </c>
      <c r="E98" s="11" t="s">
        <v>5</v>
      </c>
      <c r="F98" s="12" t="s">
        <v>197</v>
      </c>
      <c r="G98" s="13">
        <v>4.1100000000000003</v>
      </c>
      <c r="H98" s="12" t="s">
        <v>71</v>
      </c>
      <c r="I98" s="14" t="s">
        <v>5</v>
      </c>
    </row>
    <row r="99" spans="1:9" ht="15.75">
      <c r="A99" s="15"/>
      <c r="B99" s="8" t="s">
        <v>140</v>
      </c>
      <c r="C99" s="9">
        <v>4.24</v>
      </c>
      <c r="D99" s="10" t="s">
        <v>4</v>
      </c>
      <c r="E99" s="11" t="s">
        <v>5</v>
      </c>
      <c r="F99" s="12" t="s">
        <v>198</v>
      </c>
      <c r="G99" s="12">
        <v>4.1100000000000003</v>
      </c>
      <c r="H99" s="12" t="s">
        <v>48</v>
      </c>
      <c r="I99" s="14" t="s">
        <v>35</v>
      </c>
    </row>
    <row r="100" spans="1:9" ht="15.75">
      <c r="A100" s="15"/>
      <c r="B100" s="21" t="s">
        <v>199</v>
      </c>
      <c r="C100" s="24">
        <v>3.47</v>
      </c>
      <c r="D100" s="10" t="s">
        <v>4</v>
      </c>
      <c r="E100" s="11" t="s">
        <v>5</v>
      </c>
      <c r="F100" s="12" t="s">
        <v>96</v>
      </c>
      <c r="G100" s="12">
        <v>4.0999999999999996</v>
      </c>
      <c r="H100" s="12" t="s">
        <v>4</v>
      </c>
      <c r="I100" s="14" t="s">
        <v>35</v>
      </c>
    </row>
    <row r="101" spans="1:9" ht="15.75">
      <c r="A101" s="15"/>
      <c r="B101" s="8" t="s">
        <v>200</v>
      </c>
      <c r="C101" s="9">
        <v>3.89</v>
      </c>
      <c r="D101" s="10" t="s">
        <v>4</v>
      </c>
      <c r="E101" s="11" t="s">
        <v>5</v>
      </c>
      <c r="F101" s="12" t="s">
        <v>108</v>
      </c>
      <c r="G101" s="12">
        <v>4.0999999999999996</v>
      </c>
      <c r="H101" s="12" t="s">
        <v>4</v>
      </c>
      <c r="I101" s="14" t="s">
        <v>5</v>
      </c>
    </row>
    <row r="102" spans="1:9" ht="18" customHeight="1">
      <c r="A102" s="15"/>
      <c r="B102" s="21" t="s">
        <v>159</v>
      </c>
      <c r="C102" s="24">
        <v>4.16</v>
      </c>
      <c r="D102" s="10" t="s">
        <v>4</v>
      </c>
      <c r="E102" s="11" t="s">
        <v>35</v>
      </c>
      <c r="F102" s="12" t="s">
        <v>201</v>
      </c>
      <c r="G102" s="17">
        <v>4.0999999999999996</v>
      </c>
      <c r="H102" s="12" t="s">
        <v>4</v>
      </c>
      <c r="I102" s="14" t="s">
        <v>35</v>
      </c>
    </row>
    <row r="103" spans="1:9" ht="15.75">
      <c r="A103" s="15"/>
      <c r="B103" s="8" t="s">
        <v>202</v>
      </c>
      <c r="C103" s="9">
        <v>3.5</v>
      </c>
      <c r="D103" s="10" t="s">
        <v>4</v>
      </c>
      <c r="E103" s="11" t="s">
        <v>5</v>
      </c>
      <c r="F103" s="12" t="s">
        <v>203</v>
      </c>
      <c r="G103" s="12">
        <v>4.0999999999999996</v>
      </c>
      <c r="H103" s="12" t="s">
        <v>48</v>
      </c>
      <c r="I103" s="14" t="s">
        <v>5</v>
      </c>
    </row>
    <row r="104" spans="1:9" ht="16.5" customHeight="1">
      <c r="A104" s="15"/>
      <c r="B104" s="21" t="s">
        <v>75</v>
      </c>
      <c r="C104" s="24">
        <v>4.41</v>
      </c>
      <c r="D104" s="10" t="s">
        <v>4</v>
      </c>
      <c r="E104" s="11" t="s">
        <v>39</v>
      </c>
      <c r="F104" s="12" t="s">
        <v>204</v>
      </c>
      <c r="G104" s="12">
        <v>4.0999999999999996</v>
      </c>
      <c r="H104" s="12" t="s">
        <v>38</v>
      </c>
      <c r="I104" s="14" t="s">
        <v>5</v>
      </c>
    </row>
    <row r="105" spans="1:9" ht="15.75">
      <c r="A105" s="15"/>
      <c r="B105" s="21" t="s">
        <v>205</v>
      </c>
      <c r="C105" s="24">
        <v>3.81</v>
      </c>
      <c r="D105" s="10" t="s">
        <v>4</v>
      </c>
      <c r="E105" s="11" t="s">
        <v>35</v>
      </c>
      <c r="F105" s="12" t="s">
        <v>206</v>
      </c>
      <c r="G105" s="12">
        <v>4.0999999999999996</v>
      </c>
      <c r="H105" s="12" t="s">
        <v>38</v>
      </c>
      <c r="I105" s="14" t="s">
        <v>5</v>
      </c>
    </row>
    <row r="106" spans="1:9" ht="15.75">
      <c r="A106" s="15"/>
      <c r="B106" s="21" t="s">
        <v>207</v>
      </c>
      <c r="C106" s="24">
        <v>3.43</v>
      </c>
      <c r="D106" s="10" t="s">
        <v>4</v>
      </c>
      <c r="E106" s="11" t="s">
        <v>5</v>
      </c>
      <c r="F106" s="12" t="s">
        <v>208</v>
      </c>
      <c r="G106" s="12">
        <v>4.07</v>
      </c>
      <c r="H106" s="12" t="s">
        <v>71</v>
      </c>
      <c r="I106" s="14" t="s">
        <v>35</v>
      </c>
    </row>
    <row r="107" spans="1:9" ht="13.5" customHeight="1">
      <c r="A107" s="15"/>
      <c r="B107" s="21" t="s">
        <v>209</v>
      </c>
      <c r="C107" s="24">
        <v>3.65</v>
      </c>
      <c r="D107" s="10" t="s">
        <v>4</v>
      </c>
      <c r="E107" s="11" t="s">
        <v>5</v>
      </c>
      <c r="F107" s="12" t="s">
        <v>208</v>
      </c>
      <c r="G107" s="17">
        <v>4.07</v>
      </c>
      <c r="H107" s="12" t="s">
        <v>58</v>
      </c>
      <c r="I107" s="14" t="s">
        <v>5</v>
      </c>
    </row>
    <row r="108" spans="1:9" ht="15.75">
      <c r="A108" s="15"/>
      <c r="B108" s="21" t="s">
        <v>210</v>
      </c>
      <c r="C108" s="24">
        <v>4.05</v>
      </c>
      <c r="D108" s="10" t="s">
        <v>4</v>
      </c>
      <c r="E108" s="11" t="s">
        <v>5</v>
      </c>
      <c r="F108" s="12" t="s">
        <v>211</v>
      </c>
      <c r="G108" s="13">
        <v>4.0599999999999996</v>
      </c>
      <c r="H108" s="12" t="s">
        <v>58</v>
      </c>
      <c r="I108" s="14" t="s">
        <v>5</v>
      </c>
    </row>
    <row r="109" spans="1:9" ht="15.75">
      <c r="A109" s="15"/>
      <c r="B109" s="8" t="s">
        <v>61</v>
      </c>
      <c r="C109" s="9">
        <v>4.53</v>
      </c>
      <c r="D109" s="10" t="s">
        <v>4</v>
      </c>
      <c r="E109" s="11" t="s">
        <v>5</v>
      </c>
      <c r="F109" s="12" t="s">
        <v>55</v>
      </c>
      <c r="G109" s="17">
        <v>4.05</v>
      </c>
      <c r="H109" s="12" t="s">
        <v>4</v>
      </c>
      <c r="I109" s="14" t="s">
        <v>5</v>
      </c>
    </row>
    <row r="110" spans="1:9" ht="15.75">
      <c r="A110" s="15"/>
      <c r="B110" s="8" t="s">
        <v>212</v>
      </c>
      <c r="C110" s="9">
        <v>4.05</v>
      </c>
      <c r="D110" s="10" t="s">
        <v>4</v>
      </c>
      <c r="E110" s="11" t="s">
        <v>5</v>
      </c>
      <c r="F110" s="12" t="s">
        <v>78</v>
      </c>
      <c r="G110" s="17">
        <v>4.05</v>
      </c>
      <c r="H110" s="12" t="s">
        <v>4</v>
      </c>
      <c r="I110" s="14" t="s">
        <v>35</v>
      </c>
    </row>
    <row r="111" spans="1:9" ht="15.75">
      <c r="A111" s="15"/>
      <c r="B111" s="21" t="s">
        <v>213</v>
      </c>
      <c r="C111" s="24">
        <v>3.74</v>
      </c>
      <c r="D111" s="10" t="s">
        <v>4</v>
      </c>
      <c r="E111" s="11" t="s">
        <v>5</v>
      </c>
      <c r="F111" s="12" t="s">
        <v>112</v>
      </c>
      <c r="G111" s="12">
        <v>4.05</v>
      </c>
      <c r="H111" s="12" t="s">
        <v>4</v>
      </c>
      <c r="I111" s="14" t="s">
        <v>5</v>
      </c>
    </row>
    <row r="112" spans="1:9" ht="15.75">
      <c r="A112" s="15"/>
      <c r="B112" s="8" t="s">
        <v>201</v>
      </c>
      <c r="C112" s="9">
        <v>4.0999999999999996</v>
      </c>
      <c r="D112" s="10" t="s">
        <v>4</v>
      </c>
      <c r="E112" s="11" t="s">
        <v>35</v>
      </c>
      <c r="F112" s="12" t="s">
        <v>178</v>
      </c>
      <c r="G112" s="12">
        <v>4.05</v>
      </c>
      <c r="H112" s="12" t="s">
        <v>4</v>
      </c>
      <c r="I112" s="14" t="s">
        <v>35</v>
      </c>
    </row>
    <row r="113" spans="1:9" ht="15.75">
      <c r="A113" s="15"/>
      <c r="B113" s="21" t="s">
        <v>144</v>
      </c>
      <c r="C113" s="9">
        <v>4.21</v>
      </c>
      <c r="D113" s="10" t="s">
        <v>4</v>
      </c>
      <c r="E113" s="11" t="s">
        <v>5</v>
      </c>
      <c r="F113" s="12" t="s">
        <v>184</v>
      </c>
      <c r="G113" s="12">
        <v>4.05</v>
      </c>
      <c r="H113" s="12" t="s">
        <v>4</v>
      </c>
      <c r="I113" s="14" t="s">
        <v>5</v>
      </c>
    </row>
    <row r="114" spans="1:9" ht="16.5" customHeight="1">
      <c r="A114" s="15"/>
      <c r="B114" s="21" t="s">
        <v>214</v>
      </c>
      <c r="C114" s="24">
        <v>3.22</v>
      </c>
      <c r="D114" s="10" t="s">
        <v>4</v>
      </c>
      <c r="E114" s="11" t="s">
        <v>5</v>
      </c>
      <c r="F114" s="12" t="s">
        <v>210</v>
      </c>
      <c r="G114" s="12">
        <v>4.05</v>
      </c>
      <c r="H114" s="12" t="s">
        <v>4</v>
      </c>
      <c r="I114" s="14" t="s">
        <v>5</v>
      </c>
    </row>
    <row r="115" spans="1:9" ht="15.75">
      <c r="A115" s="15"/>
      <c r="B115" s="21" t="s">
        <v>215</v>
      </c>
      <c r="C115" s="24">
        <v>3.94</v>
      </c>
      <c r="D115" s="10" t="s">
        <v>4</v>
      </c>
      <c r="E115" s="11" t="s">
        <v>5</v>
      </c>
      <c r="F115" s="12" t="s">
        <v>212</v>
      </c>
      <c r="G115" s="17">
        <v>4.05</v>
      </c>
      <c r="H115" s="12" t="s">
        <v>4</v>
      </c>
      <c r="I115" s="14" t="s">
        <v>5</v>
      </c>
    </row>
    <row r="116" spans="1:9" ht="15.75">
      <c r="A116" s="15"/>
      <c r="B116" s="21" t="s">
        <v>216</v>
      </c>
      <c r="C116" s="24">
        <v>3.85</v>
      </c>
      <c r="D116" s="10" t="s">
        <v>4</v>
      </c>
      <c r="E116" s="11" t="s">
        <v>5</v>
      </c>
      <c r="F116" s="12" t="s">
        <v>217</v>
      </c>
      <c r="G116" s="17">
        <v>4.05</v>
      </c>
      <c r="H116" s="12" t="s">
        <v>4</v>
      </c>
      <c r="I116" s="14" t="s">
        <v>5</v>
      </c>
    </row>
    <row r="117" spans="1:9" ht="17.25" customHeight="1">
      <c r="A117" s="15"/>
      <c r="B117" s="21" t="s">
        <v>218</v>
      </c>
      <c r="C117" s="24">
        <v>3.63</v>
      </c>
      <c r="D117" s="10" t="s">
        <v>4</v>
      </c>
      <c r="E117" s="11" t="s">
        <v>5</v>
      </c>
      <c r="F117" s="12" t="s">
        <v>219</v>
      </c>
      <c r="G117" s="12">
        <v>4.05</v>
      </c>
      <c r="H117" s="12" t="s">
        <v>48</v>
      </c>
      <c r="I117" s="14" t="s">
        <v>5</v>
      </c>
    </row>
    <row r="118" spans="1:9" ht="15.75">
      <c r="A118" s="15"/>
      <c r="B118" s="8" t="s">
        <v>220</v>
      </c>
      <c r="C118" s="9">
        <v>3.42</v>
      </c>
      <c r="D118" s="10" t="s">
        <v>4</v>
      </c>
      <c r="E118" s="11" t="s">
        <v>5</v>
      </c>
      <c r="F118" s="12" t="s">
        <v>221</v>
      </c>
      <c r="G118" s="12">
        <v>4.05</v>
      </c>
      <c r="H118" s="12" t="s">
        <v>71</v>
      </c>
      <c r="I118" s="14" t="s">
        <v>5</v>
      </c>
    </row>
    <row r="119" spans="1:9" ht="15.75">
      <c r="A119" s="15"/>
      <c r="B119" s="8" t="s">
        <v>222</v>
      </c>
      <c r="C119" s="9">
        <v>3.88</v>
      </c>
      <c r="D119" s="10" t="s">
        <v>4</v>
      </c>
      <c r="E119" s="11" t="s">
        <v>5</v>
      </c>
      <c r="F119" s="12" t="s">
        <v>223</v>
      </c>
      <c r="G119" s="17">
        <v>4.05</v>
      </c>
      <c r="H119" s="12" t="s">
        <v>71</v>
      </c>
      <c r="I119" s="14" t="s">
        <v>5</v>
      </c>
    </row>
    <row r="120" spans="1:9" ht="15.75">
      <c r="A120" s="15"/>
      <c r="B120" s="8" t="s">
        <v>217</v>
      </c>
      <c r="C120" s="9">
        <v>4.05</v>
      </c>
      <c r="D120" s="10" t="s">
        <v>4</v>
      </c>
      <c r="E120" s="11" t="s">
        <v>5</v>
      </c>
      <c r="F120" s="12" t="s">
        <v>152</v>
      </c>
      <c r="G120" s="12">
        <v>4.05</v>
      </c>
      <c r="H120" s="12" t="s">
        <v>71</v>
      </c>
      <c r="I120" s="14" t="s">
        <v>5</v>
      </c>
    </row>
    <row r="121" spans="1:9" ht="15.75">
      <c r="A121" s="15"/>
      <c r="B121" s="8" t="s">
        <v>224</v>
      </c>
      <c r="C121" s="9">
        <v>3.95</v>
      </c>
      <c r="D121" s="10" t="s">
        <v>4</v>
      </c>
      <c r="E121" s="11" t="s">
        <v>5</v>
      </c>
      <c r="F121" s="12" t="s">
        <v>225</v>
      </c>
      <c r="G121" s="12">
        <v>4.05</v>
      </c>
      <c r="H121" s="12" t="s">
        <v>71</v>
      </c>
      <c r="I121" s="14" t="s">
        <v>5</v>
      </c>
    </row>
    <row r="122" spans="1:9" ht="15.75">
      <c r="A122" s="15"/>
      <c r="B122" s="21" t="s">
        <v>226</v>
      </c>
      <c r="C122" s="24">
        <v>3.65</v>
      </c>
      <c r="D122" s="10" t="s">
        <v>4</v>
      </c>
      <c r="E122" s="11" t="s">
        <v>5</v>
      </c>
      <c r="F122" s="12" t="s">
        <v>227</v>
      </c>
      <c r="G122" s="12">
        <v>4.05</v>
      </c>
      <c r="H122" s="12" t="s">
        <v>71</v>
      </c>
      <c r="I122" s="14" t="s">
        <v>5</v>
      </c>
    </row>
    <row r="123" spans="1:9" ht="15.75">
      <c r="A123" s="15"/>
      <c r="B123" s="21" t="s">
        <v>228</v>
      </c>
      <c r="C123" s="24">
        <v>3.53</v>
      </c>
      <c r="D123" s="10" t="s">
        <v>4</v>
      </c>
      <c r="E123" s="11" t="s">
        <v>5</v>
      </c>
      <c r="F123" s="12" t="s">
        <v>229</v>
      </c>
      <c r="G123" s="12">
        <v>4.05</v>
      </c>
      <c r="H123" s="12" t="s">
        <v>58</v>
      </c>
      <c r="I123" s="14" t="s">
        <v>5</v>
      </c>
    </row>
    <row r="124" spans="1:9" ht="15.75">
      <c r="A124" s="15"/>
      <c r="B124" s="8" t="s">
        <v>230</v>
      </c>
      <c r="C124" s="9">
        <v>3.58</v>
      </c>
      <c r="D124" s="10" t="s">
        <v>4</v>
      </c>
      <c r="E124" s="11" t="s">
        <v>5</v>
      </c>
      <c r="F124" s="12" t="s">
        <v>231</v>
      </c>
      <c r="G124" s="17">
        <v>4.05</v>
      </c>
      <c r="H124" s="12" t="s">
        <v>58</v>
      </c>
      <c r="I124" s="14" t="s">
        <v>35</v>
      </c>
    </row>
    <row r="125" spans="1:9" ht="15.75">
      <c r="A125" s="15"/>
      <c r="B125" s="21" t="s">
        <v>232</v>
      </c>
      <c r="C125" s="24">
        <v>3.35</v>
      </c>
      <c r="D125" s="10" t="s">
        <v>4</v>
      </c>
      <c r="E125" s="11" t="s">
        <v>5</v>
      </c>
      <c r="F125" s="12" t="s">
        <v>233</v>
      </c>
      <c r="G125" s="17">
        <v>4.05</v>
      </c>
      <c r="H125" s="12" t="s">
        <v>58</v>
      </c>
      <c r="I125" s="14" t="s">
        <v>5</v>
      </c>
    </row>
    <row r="126" spans="1:9" ht="15.75">
      <c r="A126" s="15"/>
      <c r="B126" s="8" t="s">
        <v>234</v>
      </c>
      <c r="C126" s="9">
        <v>3.84</v>
      </c>
      <c r="D126" s="10" t="s">
        <v>4</v>
      </c>
      <c r="E126" s="11" t="s">
        <v>5</v>
      </c>
      <c r="F126" s="12" t="s">
        <v>235</v>
      </c>
      <c r="G126" s="12">
        <v>4.05</v>
      </c>
      <c r="H126" s="12" t="s">
        <v>38</v>
      </c>
      <c r="I126" s="14" t="s">
        <v>5</v>
      </c>
    </row>
    <row r="127" spans="1:9" ht="15.75">
      <c r="A127" s="15"/>
      <c r="B127" s="8" t="s">
        <v>168</v>
      </c>
      <c r="C127" s="9">
        <v>4.1500000000000004</v>
      </c>
      <c r="D127" s="10" t="s">
        <v>4</v>
      </c>
      <c r="E127" s="11" t="s">
        <v>5</v>
      </c>
      <c r="F127" s="12" t="s">
        <v>236</v>
      </c>
      <c r="G127" s="12">
        <v>4.05</v>
      </c>
      <c r="H127" s="12" t="s">
        <v>38</v>
      </c>
      <c r="I127" s="14" t="s">
        <v>5</v>
      </c>
    </row>
    <row r="128" spans="1:9" ht="15.75">
      <c r="A128" s="15"/>
      <c r="B128" s="21" t="s">
        <v>22</v>
      </c>
      <c r="C128" s="24">
        <v>5</v>
      </c>
      <c r="D128" s="10" t="s">
        <v>4</v>
      </c>
      <c r="E128" s="11" t="s">
        <v>5</v>
      </c>
      <c r="F128" s="12" t="s">
        <v>237</v>
      </c>
      <c r="G128" s="12">
        <v>4.05</v>
      </c>
      <c r="H128" s="12" t="s">
        <v>38</v>
      </c>
      <c r="I128" s="14" t="s">
        <v>5</v>
      </c>
    </row>
    <row r="129" spans="1:9" ht="15.75">
      <c r="A129" s="15"/>
      <c r="B129" s="21" t="s">
        <v>181</v>
      </c>
      <c r="C129" s="24">
        <v>4.12</v>
      </c>
      <c r="D129" s="10" t="s">
        <v>4</v>
      </c>
      <c r="E129" s="11" t="s">
        <v>5</v>
      </c>
      <c r="F129" s="12" t="s">
        <v>227</v>
      </c>
      <c r="G129" s="17">
        <v>4.05</v>
      </c>
      <c r="H129" s="12" t="s">
        <v>38</v>
      </c>
      <c r="I129" s="14" t="s">
        <v>5</v>
      </c>
    </row>
    <row r="130" spans="1:9" ht="15.75">
      <c r="A130" s="15"/>
      <c r="B130" s="21" t="s">
        <v>238</v>
      </c>
      <c r="C130" s="24">
        <v>0</v>
      </c>
      <c r="D130" s="10" t="s">
        <v>4</v>
      </c>
      <c r="E130" s="11" t="s">
        <v>5</v>
      </c>
      <c r="F130" s="12" t="s">
        <v>225</v>
      </c>
      <c r="G130" s="13">
        <v>4.05</v>
      </c>
      <c r="H130" s="12" t="s">
        <v>38</v>
      </c>
      <c r="I130" s="14" t="s">
        <v>5</v>
      </c>
    </row>
    <row r="131" spans="1:9" ht="15.75">
      <c r="A131" s="15"/>
      <c r="B131" s="21" t="s">
        <v>239</v>
      </c>
      <c r="C131" s="24">
        <v>3.83</v>
      </c>
      <c r="D131" s="10" t="s">
        <v>4</v>
      </c>
      <c r="E131" s="11" t="s">
        <v>5</v>
      </c>
      <c r="F131" s="12" t="s">
        <v>55</v>
      </c>
      <c r="G131" s="12">
        <v>4.05</v>
      </c>
      <c r="H131" s="12" t="s">
        <v>30</v>
      </c>
      <c r="I131" s="14" t="s">
        <v>5</v>
      </c>
    </row>
    <row r="132" spans="1:9" ht="15.75">
      <c r="A132" s="15"/>
      <c r="B132" s="21" t="s">
        <v>240</v>
      </c>
      <c r="C132" s="24">
        <v>3.42</v>
      </c>
      <c r="D132" s="10" t="s">
        <v>4</v>
      </c>
      <c r="E132" s="11" t="s">
        <v>5</v>
      </c>
      <c r="F132" s="12" t="s">
        <v>241</v>
      </c>
      <c r="G132" s="13">
        <v>4.05</v>
      </c>
      <c r="H132" s="12" t="s">
        <v>30</v>
      </c>
      <c r="I132" s="14" t="s">
        <v>5</v>
      </c>
    </row>
    <row r="133" spans="1:9" ht="15.75">
      <c r="A133" s="15"/>
      <c r="B133" s="21" t="s">
        <v>242</v>
      </c>
      <c r="C133" s="24">
        <v>3.53</v>
      </c>
      <c r="D133" s="10" t="s">
        <v>4</v>
      </c>
      <c r="E133" s="11" t="s">
        <v>5</v>
      </c>
      <c r="F133" s="12" t="s">
        <v>243</v>
      </c>
      <c r="G133" s="13">
        <v>4.05</v>
      </c>
      <c r="H133" s="12" t="s">
        <v>4</v>
      </c>
      <c r="I133" s="14" t="s">
        <v>5</v>
      </c>
    </row>
    <row r="134" spans="1:9" ht="15.75">
      <c r="A134" s="15"/>
      <c r="B134" s="21" t="s">
        <v>244</v>
      </c>
      <c r="C134" s="24">
        <v>3.15</v>
      </c>
      <c r="D134" s="10" t="s">
        <v>4</v>
      </c>
      <c r="E134" s="11" t="s">
        <v>5</v>
      </c>
      <c r="F134" s="12" t="s">
        <v>245</v>
      </c>
      <c r="G134" s="13">
        <v>4.05</v>
      </c>
      <c r="H134" s="12" t="s">
        <v>48</v>
      </c>
      <c r="I134" s="14" t="s">
        <v>5</v>
      </c>
    </row>
    <row r="135" spans="1:9" ht="15.75">
      <c r="A135" s="15"/>
      <c r="B135" s="21" t="s">
        <v>246</v>
      </c>
      <c r="C135" s="24">
        <v>3.68</v>
      </c>
      <c r="D135" s="10" t="s">
        <v>4</v>
      </c>
      <c r="E135" s="11" t="s">
        <v>5</v>
      </c>
      <c r="F135" s="12" t="s">
        <v>247</v>
      </c>
      <c r="G135" s="12">
        <v>4.05</v>
      </c>
      <c r="H135" s="12" t="s">
        <v>48</v>
      </c>
      <c r="I135" s="14" t="s">
        <v>35</v>
      </c>
    </row>
    <row r="136" spans="1:9" ht="15.75">
      <c r="A136" s="15"/>
      <c r="B136" s="21" t="s">
        <v>248</v>
      </c>
      <c r="C136" s="24">
        <v>3.19</v>
      </c>
      <c r="D136" s="10" t="s">
        <v>48</v>
      </c>
      <c r="E136" s="11" t="s">
        <v>5</v>
      </c>
      <c r="F136" s="12" t="s">
        <v>74</v>
      </c>
      <c r="G136" s="17">
        <v>4</v>
      </c>
      <c r="H136" s="12" t="s">
        <v>4</v>
      </c>
      <c r="I136" s="14" t="s">
        <v>35</v>
      </c>
    </row>
    <row r="137" spans="1:9" ht="15.75">
      <c r="A137" s="15"/>
      <c r="B137" s="21" t="s">
        <v>249</v>
      </c>
      <c r="C137" s="24">
        <v>3.83</v>
      </c>
      <c r="D137" s="10" t="s">
        <v>48</v>
      </c>
      <c r="E137" s="11" t="s">
        <v>5</v>
      </c>
      <c r="F137" s="12" t="s">
        <v>76</v>
      </c>
      <c r="G137" s="17">
        <v>4</v>
      </c>
      <c r="H137" s="12" t="s">
        <v>4</v>
      </c>
      <c r="I137" s="14" t="s">
        <v>39</v>
      </c>
    </row>
    <row r="138" spans="1:9" ht="15.75">
      <c r="A138" s="15"/>
      <c r="B138" s="21" t="s">
        <v>250</v>
      </c>
      <c r="C138" s="24">
        <v>3.53</v>
      </c>
      <c r="D138" s="10" t="s">
        <v>48</v>
      </c>
      <c r="E138" s="11" t="s">
        <v>5</v>
      </c>
      <c r="F138" s="12" t="s">
        <v>80</v>
      </c>
      <c r="G138" s="12">
        <v>4</v>
      </c>
      <c r="H138" s="12" t="s">
        <v>4</v>
      </c>
      <c r="I138" s="14" t="s">
        <v>5</v>
      </c>
    </row>
    <row r="139" spans="1:9" ht="15.75">
      <c r="A139" s="15"/>
      <c r="B139" s="8" t="s">
        <v>251</v>
      </c>
      <c r="C139" s="9">
        <v>3.06</v>
      </c>
      <c r="D139" s="10" t="s">
        <v>48</v>
      </c>
      <c r="E139" s="11" t="s">
        <v>5</v>
      </c>
      <c r="F139" s="12" t="s">
        <v>98</v>
      </c>
      <c r="G139" s="12">
        <v>4</v>
      </c>
      <c r="H139" s="12" t="s">
        <v>4</v>
      </c>
      <c r="I139" s="14" t="s">
        <v>5</v>
      </c>
    </row>
    <row r="140" spans="1:9" ht="15.75">
      <c r="A140" s="15"/>
      <c r="B140" s="21" t="s">
        <v>252</v>
      </c>
      <c r="C140" s="24">
        <v>3.45</v>
      </c>
      <c r="D140" s="10" t="s">
        <v>48</v>
      </c>
      <c r="E140" s="11" t="s">
        <v>5</v>
      </c>
      <c r="F140" s="12" t="s">
        <v>132</v>
      </c>
      <c r="G140" s="12">
        <v>4</v>
      </c>
      <c r="H140" s="12" t="s">
        <v>4</v>
      </c>
      <c r="I140" s="14" t="s">
        <v>35</v>
      </c>
    </row>
    <row r="141" spans="1:9" ht="15.75">
      <c r="A141" s="15"/>
      <c r="B141" s="21" t="s">
        <v>253</v>
      </c>
      <c r="C141" s="24">
        <v>3.5</v>
      </c>
      <c r="D141" s="10" t="s">
        <v>48</v>
      </c>
      <c r="E141" s="11" t="s">
        <v>5</v>
      </c>
      <c r="F141" s="12" t="s">
        <v>254</v>
      </c>
      <c r="G141" s="12">
        <v>4</v>
      </c>
      <c r="H141" s="12" t="s">
        <v>48</v>
      </c>
      <c r="I141" s="14" t="s">
        <v>5</v>
      </c>
    </row>
    <row r="142" spans="1:9" ht="15.75">
      <c r="A142" s="15"/>
      <c r="B142" s="21" t="s">
        <v>255</v>
      </c>
      <c r="C142" s="24">
        <v>3.37</v>
      </c>
      <c r="D142" s="10" t="s">
        <v>48</v>
      </c>
      <c r="E142" s="11" t="s">
        <v>5</v>
      </c>
      <c r="F142" s="12" t="s">
        <v>256</v>
      </c>
      <c r="G142" s="12">
        <v>4</v>
      </c>
      <c r="H142" s="12" t="s">
        <v>48</v>
      </c>
      <c r="I142" s="14" t="s">
        <v>5</v>
      </c>
    </row>
    <row r="143" spans="1:9" ht="15.75">
      <c r="A143" s="15"/>
      <c r="B143" s="21" t="s">
        <v>257</v>
      </c>
      <c r="C143" s="24">
        <v>3.79</v>
      </c>
      <c r="D143" s="10" t="s">
        <v>48</v>
      </c>
      <c r="E143" s="11" t="s">
        <v>5</v>
      </c>
      <c r="F143" s="12" t="s">
        <v>258</v>
      </c>
      <c r="G143" s="17">
        <v>4</v>
      </c>
      <c r="H143" s="12" t="s">
        <v>48</v>
      </c>
      <c r="I143" s="14" t="s">
        <v>5</v>
      </c>
    </row>
    <row r="144" spans="1:9" ht="15.75">
      <c r="A144" s="15"/>
      <c r="B144" s="21" t="s">
        <v>259</v>
      </c>
      <c r="C144" s="24">
        <v>3.32</v>
      </c>
      <c r="D144" s="10" t="s">
        <v>48</v>
      </c>
      <c r="E144" s="11" t="s">
        <v>5</v>
      </c>
      <c r="F144" s="12" t="s">
        <v>260</v>
      </c>
      <c r="G144" s="12">
        <v>4</v>
      </c>
      <c r="H144" s="12" t="s">
        <v>71</v>
      </c>
      <c r="I144" s="14" t="s">
        <v>5</v>
      </c>
    </row>
    <row r="145" spans="1:9" ht="15.75">
      <c r="A145" s="15"/>
      <c r="B145" s="21" t="s">
        <v>261</v>
      </c>
      <c r="C145" s="24">
        <v>3.4</v>
      </c>
      <c r="D145" s="10" t="s">
        <v>48</v>
      </c>
      <c r="E145" s="11" t="s">
        <v>5</v>
      </c>
      <c r="F145" s="12" t="s">
        <v>260</v>
      </c>
      <c r="G145" s="17">
        <v>4</v>
      </c>
      <c r="H145" s="12" t="s">
        <v>58</v>
      </c>
      <c r="I145" s="14" t="s">
        <v>5</v>
      </c>
    </row>
    <row r="146" spans="1:9" ht="15.75">
      <c r="A146" s="15"/>
      <c r="B146" s="21" t="s">
        <v>262</v>
      </c>
      <c r="C146" s="24">
        <v>3.05</v>
      </c>
      <c r="D146" s="10" t="s">
        <v>48</v>
      </c>
      <c r="E146" s="11" t="s">
        <v>5</v>
      </c>
      <c r="F146" s="12" t="s">
        <v>263</v>
      </c>
      <c r="G146" s="17">
        <v>4</v>
      </c>
      <c r="H146" s="12" t="s">
        <v>38</v>
      </c>
      <c r="I146" s="14" t="s">
        <v>5</v>
      </c>
    </row>
    <row r="147" spans="1:9" ht="15.75">
      <c r="A147" s="15"/>
      <c r="B147" s="21" t="s">
        <v>264</v>
      </c>
      <c r="C147" s="24">
        <v>3.58</v>
      </c>
      <c r="D147" s="10" t="s">
        <v>48</v>
      </c>
      <c r="E147" s="11" t="s">
        <v>5</v>
      </c>
      <c r="F147" s="12" t="s">
        <v>265</v>
      </c>
      <c r="G147" s="13">
        <v>4</v>
      </c>
      <c r="H147" s="12" t="s">
        <v>38</v>
      </c>
      <c r="I147" s="14" t="s">
        <v>35</v>
      </c>
    </row>
    <row r="148" spans="1:9" ht="15.75">
      <c r="A148" s="15"/>
      <c r="B148" s="21" t="s">
        <v>266</v>
      </c>
      <c r="C148" s="24">
        <v>3.44</v>
      </c>
      <c r="D148" s="10" t="s">
        <v>48</v>
      </c>
      <c r="E148" s="11" t="s">
        <v>39</v>
      </c>
      <c r="F148" s="12" t="s">
        <v>267</v>
      </c>
      <c r="G148" s="13">
        <v>4</v>
      </c>
      <c r="H148" s="12" t="s">
        <v>4</v>
      </c>
      <c r="I148" s="14" t="s">
        <v>39</v>
      </c>
    </row>
    <row r="149" spans="1:9" ht="15.75">
      <c r="A149" s="15"/>
      <c r="B149" s="21" t="s">
        <v>268</v>
      </c>
      <c r="C149" s="24">
        <v>0</v>
      </c>
      <c r="D149" s="10" t="s">
        <v>48</v>
      </c>
      <c r="E149" s="11" t="s">
        <v>5</v>
      </c>
      <c r="F149" s="12" t="s">
        <v>269</v>
      </c>
      <c r="G149" s="13">
        <v>4</v>
      </c>
      <c r="H149" s="12" t="s">
        <v>30</v>
      </c>
      <c r="I149" s="14" t="s">
        <v>35</v>
      </c>
    </row>
    <row r="150" spans="1:9" ht="15.75">
      <c r="A150" s="15"/>
      <c r="B150" s="21" t="s">
        <v>270</v>
      </c>
      <c r="C150" s="24">
        <v>3.88</v>
      </c>
      <c r="D150" s="10" t="s">
        <v>48</v>
      </c>
      <c r="E150" s="11" t="s">
        <v>5</v>
      </c>
      <c r="F150" s="12" t="s">
        <v>271</v>
      </c>
      <c r="G150" s="13">
        <v>4</v>
      </c>
      <c r="H150" s="12" t="s">
        <v>48</v>
      </c>
      <c r="I150" s="14" t="s">
        <v>35</v>
      </c>
    </row>
    <row r="151" spans="1:9" ht="15.75">
      <c r="A151" s="15"/>
      <c r="B151" s="21" t="s">
        <v>272</v>
      </c>
      <c r="C151" s="24">
        <v>3.42</v>
      </c>
      <c r="D151" s="10" t="s">
        <v>48</v>
      </c>
      <c r="E151" s="11" t="s">
        <v>5</v>
      </c>
      <c r="F151" s="12" t="s">
        <v>64</v>
      </c>
      <c r="G151" s="12">
        <v>3.95</v>
      </c>
      <c r="H151" s="12" t="s">
        <v>4</v>
      </c>
      <c r="I151" s="14" t="s">
        <v>5</v>
      </c>
    </row>
    <row r="152" spans="1:9" ht="15.75">
      <c r="A152" s="15"/>
      <c r="B152" s="21" t="s">
        <v>273</v>
      </c>
      <c r="C152" s="24">
        <v>3.58</v>
      </c>
      <c r="D152" s="10" t="s">
        <v>48</v>
      </c>
      <c r="E152" s="11" t="s">
        <v>5</v>
      </c>
      <c r="F152" s="12" t="s">
        <v>85</v>
      </c>
      <c r="G152" s="12">
        <v>3.95</v>
      </c>
      <c r="H152" s="12" t="s">
        <v>4</v>
      </c>
      <c r="I152" s="14" t="s">
        <v>5</v>
      </c>
    </row>
    <row r="153" spans="1:9" ht="15.75">
      <c r="A153" s="15"/>
      <c r="B153" s="21" t="s">
        <v>274</v>
      </c>
      <c r="C153" s="24">
        <v>3.5</v>
      </c>
      <c r="D153" s="10" t="s">
        <v>48</v>
      </c>
      <c r="E153" s="11" t="s">
        <v>5</v>
      </c>
      <c r="F153" s="12" t="s">
        <v>137</v>
      </c>
      <c r="G153" s="12">
        <v>3.95</v>
      </c>
      <c r="H153" s="12" t="s">
        <v>4</v>
      </c>
      <c r="I153" s="14" t="s">
        <v>35</v>
      </c>
    </row>
    <row r="154" spans="1:9" ht="15.75">
      <c r="A154" s="15"/>
      <c r="B154" s="8" t="s">
        <v>275</v>
      </c>
      <c r="C154" s="9">
        <v>3.26</v>
      </c>
      <c r="D154" s="10" t="s">
        <v>48</v>
      </c>
      <c r="E154" s="11" t="s">
        <v>35</v>
      </c>
      <c r="F154" s="12" t="s">
        <v>224</v>
      </c>
      <c r="G154" s="17">
        <v>3.95</v>
      </c>
      <c r="H154" s="12" t="s">
        <v>4</v>
      </c>
      <c r="I154" s="14" t="s">
        <v>5</v>
      </c>
    </row>
    <row r="155" spans="1:9" ht="15.75">
      <c r="A155" s="15"/>
      <c r="B155" s="21" t="s">
        <v>276</v>
      </c>
      <c r="C155" s="24">
        <v>3.33</v>
      </c>
      <c r="D155" s="10" t="s">
        <v>48</v>
      </c>
      <c r="E155" s="11" t="s">
        <v>35</v>
      </c>
      <c r="F155" s="12" t="s">
        <v>277</v>
      </c>
      <c r="G155" s="12">
        <v>3.95</v>
      </c>
      <c r="H155" s="12" t="s">
        <v>48</v>
      </c>
      <c r="I155" s="14" t="s">
        <v>35</v>
      </c>
    </row>
    <row r="156" spans="1:9" ht="15.75">
      <c r="A156" s="15"/>
      <c r="B156" s="21" t="s">
        <v>278</v>
      </c>
      <c r="C156" s="24">
        <v>3.42</v>
      </c>
      <c r="D156" s="10" t="s">
        <v>48</v>
      </c>
      <c r="E156" s="11" t="s">
        <v>35</v>
      </c>
      <c r="F156" s="12" t="s">
        <v>279</v>
      </c>
      <c r="G156" s="12">
        <v>3.95</v>
      </c>
      <c r="H156" s="12" t="s">
        <v>71</v>
      </c>
      <c r="I156" s="14" t="s">
        <v>5</v>
      </c>
    </row>
    <row r="157" spans="1:9" ht="15.75">
      <c r="A157" s="15"/>
      <c r="B157" s="21" t="s">
        <v>280</v>
      </c>
      <c r="C157" s="34">
        <v>3.16</v>
      </c>
      <c r="D157" s="10" t="s">
        <v>48</v>
      </c>
      <c r="E157" s="11" t="s">
        <v>5</v>
      </c>
      <c r="F157" s="12" t="s">
        <v>279</v>
      </c>
      <c r="G157" s="17">
        <v>3.95</v>
      </c>
      <c r="H157" s="12" t="s">
        <v>38</v>
      </c>
      <c r="I157" s="14" t="s">
        <v>5</v>
      </c>
    </row>
    <row r="158" spans="1:9" ht="15.75">
      <c r="A158" s="15"/>
      <c r="B158" s="21" t="s">
        <v>281</v>
      </c>
      <c r="C158" s="34">
        <v>3.61</v>
      </c>
      <c r="D158" s="10" t="s">
        <v>48</v>
      </c>
      <c r="E158" s="11" t="s">
        <v>5</v>
      </c>
      <c r="F158" s="12" t="s">
        <v>282</v>
      </c>
      <c r="G158" s="13">
        <v>3.95</v>
      </c>
      <c r="H158" s="12" t="s">
        <v>30</v>
      </c>
      <c r="I158" s="14" t="s">
        <v>5</v>
      </c>
    </row>
    <row r="159" spans="1:9" ht="15.75">
      <c r="A159" s="15"/>
      <c r="B159" s="21" t="s">
        <v>283</v>
      </c>
      <c r="C159" s="24">
        <v>3.4</v>
      </c>
      <c r="D159" s="10" t="s">
        <v>48</v>
      </c>
      <c r="E159" s="11" t="s">
        <v>5</v>
      </c>
      <c r="F159" s="12" t="s">
        <v>284</v>
      </c>
      <c r="G159" s="13">
        <v>3.95</v>
      </c>
      <c r="H159" s="12" t="s">
        <v>38</v>
      </c>
      <c r="I159" s="14" t="s">
        <v>5</v>
      </c>
    </row>
    <row r="160" spans="1:9" ht="15.75">
      <c r="A160" s="15"/>
      <c r="B160" s="21" t="s">
        <v>285</v>
      </c>
      <c r="C160" s="24">
        <v>3.89</v>
      </c>
      <c r="D160" s="10" t="s">
        <v>48</v>
      </c>
      <c r="E160" s="11" t="s">
        <v>35</v>
      </c>
      <c r="F160" s="12" t="s">
        <v>113</v>
      </c>
      <c r="G160" s="12">
        <v>3.94</v>
      </c>
      <c r="H160" s="12" t="s">
        <v>4</v>
      </c>
      <c r="I160" s="14" t="s">
        <v>39</v>
      </c>
    </row>
    <row r="161" spans="1:9" ht="15.75">
      <c r="A161" s="15"/>
      <c r="B161" s="21" t="s">
        <v>219</v>
      </c>
      <c r="C161" s="24">
        <v>4.05</v>
      </c>
      <c r="D161" s="10" t="s">
        <v>48</v>
      </c>
      <c r="E161" s="11" t="s">
        <v>5</v>
      </c>
      <c r="F161" s="12" t="s">
        <v>119</v>
      </c>
      <c r="G161" s="12">
        <v>3.94</v>
      </c>
      <c r="H161" s="12" t="s">
        <v>4</v>
      </c>
      <c r="I161" s="14" t="s">
        <v>39</v>
      </c>
    </row>
    <row r="162" spans="1:9" ht="15.75">
      <c r="A162" s="15"/>
      <c r="B162" s="21" t="s">
        <v>286</v>
      </c>
      <c r="C162" s="24">
        <v>3.84</v>
      </c>
      <c r="D162" s="10" t="s">
        <v>48</v>
      </c>
      <c r="E162" s="11" t="s">
        <v>5</v>
      </c>
      <c r="F162" s="12" t="s">
        <v>133</v>
      </c>
      <c r="G162" s="12">
        <v>3.94</v>
      </c>
      <c r="H162" s="12" t="s">
        <v>4</v>
      </c>
      <c r="I162" s="14" t="s">
        <v>35</v>
      </c>
    </row>
    <row r="163" spans="1:9" ht="15.75">
      <c r="A163" s="15"/>
      <c r="B163" s="21" t="s">
        <v>287</v>
      </c>
      <c r="C163" s="24">
        <v>3.9</v>
      </c>
      <c r="D163" s="10" t="s">
        <v>48</v>
      </c>
      <c r="E163" s="11" t="s">
        <v>5</v>
      </c>
      <c r="F163" s="12" t="s">
        <v>128</v>
      </c>
      <c r="G163" s="12">
        <v>3.94</v>
      </c>
      <c r="H163" s="12" t="s">
        <v>4</v>
      </c>
      <c r="I163" s="14" t="s">
        <v>5</v>
      </c>
    </row>
    <row r="164" spans="1:9" ht="15.75">
      <c r="A164" s="15"/>
      <c r="B164" s="35" t="s">
        <v>288</v>
      </c>
      <c r="C164" s="24">
        <v>3.44</v>
      </c>
      <c r="D164" s="10" t="s">
        <v>48</v>
      </c>
      <c r="E164" s="11" t="s">
        <v>35</v>
      </c>
      <c r="F164" s="12" t="s">
        <v>145</v>
      </c>
      <c r="G164" s="17">
        <v>3.94</v>
      </c>
      <c r="H164" s="12" t="s">
        <v>4</v>
      </c>
      <c r="I164" s="14" t="s">
        <v>5</v>
      </c>
    </row>
    <row r="165" spans="1:9" ht="15.75">
      <c r="A165" s="15"/>
      <c r="B165" s="35" t="s">
        <v>170</v>
      </c>
      <c r="C165" s="24">
        <v>4.1500000000000004</v>
      </c>
      <c r="D165" s="10" t="s">
        <v>48</v>
      </c>
      <c r="E165" s="11" t="s">
        <v>5</v>
      </c>
      <c r="F165" s="12" t="s">
        <v>155</v>
      </c>
      <c r="G165" s="12">
        <v>3.94</v>
      </c>
      <c r="H165" s="12" t="s">
        <v>4</v>
      </c>
      <c r="I165" s="14" t="s">
        <v>5</v>
      </c>
    </row>
    <row r="166" spans="1:9" ht="15.75">
      <c r="A166" s="15"/>
      <c r="B166" s="21" t="s">
        <v>289</v>
      </c>
      <c r="C166" s="34">
        <v>3.5</v>
      </c>
      <c r="D166" s="10" t="s">
        <v>48</v>
      </c>
      <c r="E166" s="11" t="s">
        <v>5</v>
      </c>
      <c r="F166" s="12" t="s">
        <v>215</v>
      </c>
      <c r="G166" s="12">
        <v>3.94</v>
      </c>
      <c r="H166" s="12" t="s">
        <v>4</v>
      </c>
      <c r="I166" s="14" t="s">
        <v>5</v>
      </c>
    </row>
    <row r="167" spans="1:9" ht="15.75">
      <c r="A167" s="15"/>
      <c r="B167" s="21" t="s">
        <v>290</v>
      </c>
      <c r="C167" s="24">
        <v>3.29</v>
      </c>
      <c r="D167" s="10" t="s">
        <v>48</v>
      </c>
      <c r="E167" s="11" t="s">
        <v>35</v>
      </c>
      <c r="F167" s="12" t="s">
        <v>291</v>
      </c>
      <c r="G167" s="12">
        <v>3.94</v>
      </c>
      <c r="H167" s="12" t="s">
        <v>48</v>
      </c>
      <c r="I167" s="14" t="s">
        <v>5</v>
      </c>
    </row>
    <row r="168" spans="1:9" ht="15.75">
      <c r="A168" s="15"/>
      <c r="B168" s="21" t="s">
        <v>292</v>
      </c>
      <c r="C168" s="34">
        <v>3.7</v>
      </c>
      <c r="D168" s="10" t="s">
        <v>48</v>
      </c>
      <c r="E168" s="11" t="s">
        <v>5</v>
      </c>
      <c r="F168" s="12" t="s">
        <v>293</v>
      </c>
      <c r="G168" s="17">
        <v>3.94</v>
      </c>
      <c r="H168" s="12" t="s">
        <v>48</v>
      </c>
      <c r="I168" s="14" t="s">
        <v>5</v>
      </c>
    </row>
    <row r="169" spans="1:9" ht="15.75">
      <c r="A169" s="15"/>
      <c r="B169" s="21" t="s">
        <v>294</v>
      </c>
      <c r="C169" s="24">
        <v>3.79</v>
      </c>
      <c r="D169" s="10" t="s">
        <v>48</v>
      </c>
      <c r="E169" s="11" t="s">
        <v>35</v>
      </c>
      <c r="F169" s="12" t="s">
        <v>295</v>
      </c>
      <c r="G169" s="12">
        <v>3.94</v>
      </c>
      <c r="H169" s="12" t="s">
        <v>48</v>
      </c>
      <c r="I169" s="14" t="s">
        <v>5</v>
      </c>
    </row>
    <row r="170" spans="1:9" ht="15.75">
      <c r="A170" s="15"/>
      <c r="B170" s="21" t="s">
        <v>121</v>
      </c>
      <c r="C170" s="24">
        <v>4.2699999999999996</v>
      </c>
      <c r="D170" s="10" t="s">
        <v>48</v>
      </c>
      <c r="E170" s="11" t="s">
        <v>5</v>
      </c>
      <c r="F170" s="12" t="s">
        <v>296</v>
      </c>
      <c r="G170" s="12">
        <v>3.94</v>
      </c>
      <c r="H170" s="12" t="s">
        <v>71</v>
      </c>
      <c r="I170" s="14" t="s">
        <v>5</v>
      </c>
    </row>
    <row r="171" spans="1:9" ht="15.75">
      <c r="A171" s="15"/>
      <c r="B171" s="21" t="s">
        <v>93</v>
      </c>
      <c r="C171" s="24">
        <v>4.3600000000000003</v>
      </c>
      <c r="D171" s="10" t="s">
        <v>48</v>
      </c>
      <c r="E171" s="11" t="s">
        <v>5</v>
      </c>
      <c r="F171" s="12" t="s">
        <v>297</v>
      </c>
      <c r="G171" s="17">
        <v>3.94</v>
      </c>
      <c r="H171" s="12" t="s">
        <v>38</v>
      </c>
      <c r="I171" s="14" t="s">
        <v>5</v>
      </c>
    </row>
    <row r="172" spans="1:9" ht="15.75">
      <c r="A172" s="15"/>
      <c r="B172" s="21" t="s">
        <v>298</v>
      </c>
      <c r="C172" s="24">
        <v>3.28</v>
      </c>
      <c r="D172" s="10" t="s">
        <v>48</v>
      </c>
      <c r="E172" s="11" t="s">
        <v>5</v>
      </c>
      <c r="F172" s="12" t="s">
        <v>299</v>
      </c>
      <c r="G172" s="17">
        <v>3.94</v>
      </c>
      <c r="H172" s="12" t="s">
        <v>38</v>
      </c>
      <c r="I172" s="14" t="s">
        <v>5</v>
      </c>
    </row>
    <row r="173" spans="1:9" ht="15.75">
      <c r="A173" s="15"/>
      <c r="B173" s="21" t="s">
        <v>127</v>
      </c>
      <c r="C173" s="24">
        <v>4.26</v>
      </c>
      <c r="D173" s="10" t="s">
        <v>48</v>
      </c>
      <c r="E173" s="11" t="s">
        <v>5</v>
      </c>
      <c r="F173" s="12" t="s">
        <v>300</v>
      </c>
      <c r="G173" s="13">
        <v>3.94</v>
      </c>
      <c r="H173" s="12" t="s">
        <v>30</v>
      </c>
      <c r="I173" s="14" t="s">
        <v>35</v>
      </c>
    </row>
    <row r="174" spans="1:9" ht="15.75">
      <c r="A174" s="15"/>
      <c r="B174" s="21" t="s">
        <v>47</v>
      </c>
      <c r="C174" s="24">
        <v>4.72</v>
      </c>
      <c r="D174" s="10" t="s">
        <v>48</v>
      </c>
      <c r="E174" s="11" t="s">
        <v>5</v>
      </c>
      <c r="F174" s="12" t="s">
        <v>301</v>
      </c>
      <c r="G174" s="13">
        <v>3.94</v>
      </c>
      <c r="H174" s="12" t="s">
        <v>30</v>
      </c>
      <c r="I174" s="14" t="s">
        <v>5</v>
      </c>
    </row>
    <row r="175" spans="1:9" ht="15.75">
      <c r="A175" s="15"/>
      <c r="B175" s="35" t="s">
        <v>302</v>
      </c>
      <c r="C175" s="24">
        <v>3.73</v>
      </c>
      <c r="D175" s="10" t="s">
        <v>48</v>
      </c>
      <c r="E175" s="11" t="s">
        <v>5</v>
      </c>
      <c r="F175" s="12" t="s">
        <v>303</v>
      </c>
      <c r="G175" s="13">
        <v>3.94</v>
      </c>
      <c r="H175" s="12" t="s">
        <v>30</v>
      </c>
      <c r="I175" s="14" t="s">
        <v>5</v>
      </c>
    </row>
    <row r="176" spans="1:9" ht="15.75">
      <c r="A176" s="15"/>
      <c r="B176" s="35" t="s">
        <v>107</v>
      </c>
      <c r="C176" s="24">
        <v>4.3099999999999996</v>
      </c>
      <c r="D176" s="10" t="s">
        <v>48</v>
      </c>
      <c r="E176" s="11" t="s">
        <v>35</v>
      </c>
      <c r="F176" s="12" t="s">
        <v>304</v>
      </c>
      <c r="G176" s="13">
        <v>3.94</v>
      </c>
      <c r="H176" s="12" t="s">
        <v>30</v>
      </c>
      <c r="I176" s="14" t="s">
        <v>5</v>
      </c>
    </row>
    <row r="177" spans="1:9" ht="15.75">
      <c r="A177" s="15"/>
      <c r="B177" s="21" t="s">
        <v>203</v>
      </c>
      <c r="C177" s="24">
        <v>4.0999999999999996</v>
      </c>
      <c r="D177" s="10" t="s">
        <v>48</v>
      </c>
      <c r="E177" s="11" t="s">
        <v>5</v>
      </c>
      <c r="F177" s="12" t="s">
        <v>169</v>
      </c>
      <c r="G177" s="17">
        <v>3.9</v>
      </c>
      <c r="H177" s="12" t="s">
        <v>4</v>
      </c>
      <c r="I177" s="14" t="s">
        <v>5</v>
      </c>
    </row>
    <row r="178" spans="1:9" ht="15.75">
      <c r="A178" s="15"/>
      <c r="B178" s="35" t="s">
        <v>281</v>
      </c>
      <c r="C178" s="24">
        <v>3.61</v>
      </c>
      <c r="D178" s="10" t="s">
        <v>48</v>
      </c>
      <c r="E178" s="11" t="s">
        <v>5</v>
      </c>
      <c r="F178" s="12" t="s">
        <v>287</v>
      </c>
      <c r="G178" s="12">
        <v>3.9</v>
      </c>
      <c r="H178" s="12" t="s">
        <v>48</v>
      </c>
      <c r="I178" s="14" t="s">
        <v>5</v>
      </c>
    </row>
    <row r="179" spans="1:9" ht="15.75">
      <c r="A179" s="15"/>
      <c r="B179" s="35" t="s">
        <v>305</v>
      </c>
      <c r="C179" s="24">
        <v>3.56</v>
      </c>
      <c r="D179" s="10" t="s">
        <v>48</v>
      </c>
      <c r="E179" s="11" t="s">
        <v>5</v>
      </c>
      <c r="F179" s="12" t="s">
        <v>306</v>
      </c>
      <c r="G179" s="12">
        <v>3.9</v>
      </c>
      <c r="H179" s="12" t="s">
        <v>48</v>
      </c>
      <c r="I179" s="14" t="s">
        <v>5</v>
      </c>
    </row>
    <row r="180" spans="1:9" ht="15.75">
      <c r="A180" s="15"/>
      <c r="B180" s="21" t="s">
        <v>307</v>
      </c>
      <c r="C180" s="24">
        <v>3.37</v>
      </c>
      <c r="D180" s="10" t="s">
        <v>48</v>
      </c>
      <c r="E180" s="11" t="s">
        <v>5</v>
      </c>
      <c r="F180" s="12" t="s">
        <v>287</v>
      </c>
      <c r="G180" s="12">
        <v>3.9</v>
      </c>
      <c r="H180" s="12" t="s">
        <v>38</v>
      </c>
      <c r="I180" s="14" t="s">
        <v>5</v>
      </c>
    </row>
    <row r="181" spans="1:9" ht="15.75">
      <c r="A181" s="15"/>
      <c r="B181" s="21" t="s">
        <v>308</v>
      </c>
      <c r="C181" s="24">
        <v>3.44</v>
      </c>
      <c r="D181" s="10" t="s">
        <v>48</v>
      </c>
      <c r="E181" s="11" t="s">
        <v>5</v>
      </c>
      <c r="F181" s="12" t="s">
        <v>309</v>
      </c>
      <c r="G181" s="12">
        <v>3.9</v>
      </c>
      <c r="H181" s="12" t="s">
        <v>38</v>
      </c>
      <c r="I181" s="14" t="s">
        <v>39</v>
      </c>
    </row>
    <row r="182" spans="1:9" ht="15.75">
      <c r="A182" s="15"/>
      <c r="B182" s="35" t="s">
        <v>310</v>
      </c>
      <c r="C182" s="34">
        <v>3.55</v>
      </c>
      <c r="D182" s="10" t="s">
        <v>48</v>
      </c>
      <c r="E182" s="11" t="s">
        <v>5</v>
      </c>
      <c r="F182" s="12" t="s">
        <v>311</v>
      </c>
      <c r="G182" s="13">
        <v>3.9</v>
      </c>
      <c r="H182" s="12" t="s">
        <v>30</v>
      </c>
      <c r="I182" s="14" t="s">
        <v>5</v>
      </c>
    </row>
    <row r="183" spans="1:9" ht="15.75">
      <c r="A183" s="15"/>
      <c r="B183" s="21" t="s">
        <v>312</v>
      </c>
      <c r="C183" s="24">
        <v>3.42</v>
      </c>
      <c r="D183" s="10" t="s">
        <v>48</v>
      </c>
      <c r="E183" s="11" t="s">
        <v>5</v>
      </c>
      <c r="F183" s="12" t="s">
        <v>313</v>
      </c>
      <c r="G183" s="13">
        <v>3.9</v>
      </c>
      <c r="H183" s="12" t="s">
        <v>30</v>
      </c>
      <c r="I183" s="14" t="s">
        <v>5</v>
      </c>
    </row>
    <row r="184" spans="1:9" ht="15.75">
      <c r="A184" s="15"/>
      <c r="B184" s="21" t="s">
        <v>314</v>
      </c>
      <c r="C184" s="24">
        <v>3.29</v>
      </c>
      <c r="D184" s="10" t="s">
        <v>48</v>
      </c>
      <c r="E184" s="11" t="s">
        <v>5</v>
      </c>
      <c r="F184" s="15" t="s">
        <v>315</v>
      </c>
      <c r="G184" s="13">
        <v>3.9</v>
      </c>
      <c r="H184" s="12" t="s">
        <v>48</v>
      </c>
      <c r="I184" s="14" t="s">
        <v>5</v>
      </c>
    </row>
    <row r="185" spans="1:9" ht="15.75">
      <c r="A185" s="15"/>
      <c r="B185" s="35" t="s">
        <v>316</v>
      </c>
      <c r="C185" s="24">
        <v>3.72</v>
      </c>
      <c r="D185" s="10" t="s">
        <v>48</v>
      </c>
      <c r="E185" s="10" t="s">
        <v>5</v>
      </c>
      <c r="F185" s="12" t="s">
        <v>36</v>
      </c>
      <c r="G185" s="17">
        <v>3.89</v>
      </c>
      <c r="H185" s="12" t="s">
        <v>4</v>
      </c>
      <c r="I185" s="14" t="s">
        <v>35</v>
      </c>
    </row>
    <row r="186" spans="1:9" ht="15.75">
      <c r="A186" s="15"/>
      <c r="B186" s="21" t="s">
        <v>171</v>
      </c>
      <c r="C186" s="34">
        <v>4.1500000000000004</v>
      </c>
      <c r="D186" s="10" t="s">
        <v>48</v>
      </c>
      <c r="E186" s="11" t="s">
        <v>5</v>
      </c>
      <c r="F186" s="12" t="s">
        <v>94</v>
      </c>
      <c r="G186" s="17">
        <v>3.89</v>
      </c>
      <c r="H186" s="12" t="s">
        <v>4</v>
      </c>
      <c r="I186" s="14" t="s">
        <v>5</v>
      </c>
    </row>
    <row r="187" spans="1:9" ht="15.75">
      <c r="A187" s="15"/>
      <c r="B187" s="21" t="s">
        <v>317</v>
      </c>
      <c r="C187" s="34">
        <v>3.47</v>
      </c>
      <c r="D187" s="10" t="s">
        <v>48</v>
      </c>
      <c r="E187" s="11" t="s">
        <v>5</v>
      </c>
      <c r="F187" s="12" t="s">
        <v>190</v>
      </c>
      <c r="G187" s="12">
        <v>3.89</v>
      </c>
      <c r="H187" s="12" t="s">
        <v>4</v>
      </c>
      <c r="I187" s="14" t="s">
        <v>5</v>
      </c>
    </row>
    <row r="188" spans="1:9" ht="15.75">
      <c r="A188" s="15"/>
      <c r="B188" s="35" t="s">
        <v>318</v>
      </c>
      <c r="C188" s="36">
        <v>3.16</v>
      </c>
      <c r="D188" s="10" t="s">
        <v>48</v>
      </c>
      <c r="E188" s="11" t="s">
        <v>5</v>
      </c>
      <c r="F188" s="12" t="s">
        <v>200</v>
      </c>
      <c r="G188" s="17">
        <v>3.89</v>
      </c>
      <c r="H188" s="12" t="s">
        <v>4</v>
      </c>
      <c r="I188" s="14" t="s">
        <v>5</v>
      </c>
    </row>
    <row r="189" spans="1:9" ht="15.75">
      <c r="A189" s="15"/>
      <c r="B189" s="37" t="s">
        <v>319</v>
      </c>
      <c r="C189" s="38">
        <v>3.05</v>
      </c>
      <c r="D189" s="10" t="s">
        <v>48</v>
      </c>
      <c r="E189" s="11" t="s">
        <v>5</v>
      </c>
      <c r="F189" s="12" t="s">
        <v>285</v>
      </c>
      <c r="G189" s="12">
        <v>3.89</v>
      </c>
      <c r="H189" s="12" t="s">
        <v>48</v>
      </c>
      <c r="I189" s="14" t="s">
        <v>35</v>
      </c>
    </row>
    <row r="190" spans="1:9" ht="15.75">
      <c r="A190" s="15"/>
      <c r="B190" s="21" t="s">
        <v>320</v>
      </c>
      <c r="C190" s="34">
        <v>3.33</v>
      </c>
      <c r="D190" s="10" t="s">
        <v>48</v>
      </c>
      <c r="E190" s="11" t="s">
        <v>5</v>
      </c>
      <c r="F190" s="12" t="s">
        <v>321</v>
      </c>
      <c r="G190" s="12">
        <v>3.89</v>
      </c>
      <c r="H190" s="12" t="s">
        <v>48</v>
      </c>
      <c r="I190" s="14" t="s">
        <v>39</v>
      </c>
    </row>
    <row r="191" spans="1:9" ht="15.75">
      <c r="A191" s="15"/>
      <c r="B191" s="21" t="s">
        <v>322</v>
      </c>
      <c r="C191" s="34">
        <v>3.42</v>
      </c>
      <c r="D191" s="10" t="s">
        <v>48</v>
      </c>
      <c r="E191" s="11" t="s">
        <v>5</v>
      </c>
      <c r="F191" s="12" t="s">
        <v>323</v>
      </c>
      <c r="G191" s="12">
        <v>3.89</v>
      </c>
      <c r="H191" s="12" t="s">
        <v>48</v>
      </c>
      <c r="I191" s="14" t="s">
        <v>5</v>
      </c>
    </row>
    <row r="192" spans="1:9" ht="15.75">
      <c r="A192" s="15"/>
      <c r="B192" s="21" t="s">
        <v>324</v>
      </c>
      <c r="C192" s="34">
        <v>3.61</v>
      </c>
      <c r="D192" s="10" t="s">
        <v>48</v>
      </c>
      <c r="E192" s="11" t="s">
        <v>5</v>
      </c>
      <c r="F192" s="12" t="s">
        <v>325</v>
      </c>
      <c r="G192" s="17">
        <v>3.89</v>
      </c>
      <c r="H192" s="12" t="s">
        <v>71</v>
      </c>
      <c r="I192" s="14" t="s">
        <v>35</v>
      </c>
    </row>
    <row r="193" spans="1:9" ht="15.75">
      <c r="A193" s="15"/>
      <c r="B193" s="37" t="s">
        <v>326</v>
      </c>
      <c r="C193" s="36">
        <v>3.78</v>
      </c>
      <c r="D193" s="10" t="s">
        <v>48</v>
      </c>
      <c r="E193" s="11" t="s">
        <v>5</v>
      </c>
      <c r="F193" s="12" t="s">
        <v>327</v>
      </c>
      <c r="G193" s="12">
        <v>3.89</v>
      </c>
      <c r="H193" s="12" t="s">
        <v>71</v>
      </c>
      <c r="I193" s="14" t="s">
        <v>5</v>
      </c>
    </row>
    <row r="194" spans="1:9" ht="15.75">
      <c r="A194" s="15"/>
      <c r="B194" s="21" t="s">
        <v>328</v>
      </c>
      <c r="C194" s="34">
        <v>3.47</v>
      </c>
      <c r="D194" s="10" t="s">
        <v>48</v>
      </c>
      <c r="E194" s="11" t="s">
        <v>5</v>
      </c>
      <c r="F194" s="12" t="s">
        <v>329</v>
      </c>
      <c r="G194" s="17">
        <v>3.89</v>
      </c>
      <c r="H194" s="12" t="s">
        <v>58</v>
      </c>
      <c r="I194" s="14" t="s">
        <v>5</v>
      </c>
    </row>
    <row r="195" spans="1:9" ht="15.75">
      <c r="A195" s="15"/>
      <c r="B195" s="21" t="s">
        <v>330</v>
      </c>
      <c r="C195" s="24">
        <v>3.3</v>
      </c>
      <c r="D195" s="10" t="s">
        <v>48</v>
      </c>
      <c r="E195" s="11" t="s">
        <v>5</v>
      </c>
      <c r="F195" s="12" t="s">
        <v>331</v>
      </c>
      <c r="G195" s="17">
        <v>3.89</v>
      </c>
      <c r="H195" s="12" t="s">
        <v>38</v>
      </c>
      <c r="I195" s="14" t="s">
        <v>5</v>
      </c>
    </row>
    <row r="196" spans="1:9" ht="15.75">
      <c r="A196" s="15"/>
      <c r="B196" s="21" t="s">
        <v>332</v>
      </c>
      <c r="C196" s="24">
        <v>3.78</v>
      </c>
      <c r="D196" s="10" t="s">
        <v>48</v>
      </c>
      <c r="E196" s="11" t="s">
        <v>5</v>
      </c>
      <c r="F196" s="12" t="s">
        <v>333</v>
      </c>
      <c r="G196" s="17">
        <v>3.89</v>
      </c>
      <c r="H196" s="12" t="s">
        <v>38</v>
      </c>
      <c r="I196" s="14" t="s">
        <v>5</v>
      </c>
    </row>
    <row r="197" spans="1:9" ht="15.75">
      <c r="A197" s="15"/>
      <c r="B197" s="21" t="s">
        <v>334</v>
      </c>
      <c r="C197" s="24">
        <v>3.23</v>
      </c>
      <c r="D197" s="10" t="s">
        <v>48</v>
      </c>
      <c r="E197" s="11" t="s">
        <v>5</v>
      </c>
      <c r="F197" s="12" t="s">
        <v>335</v>
      </c>
      <c r="G197" s="13">
        <v>3.89</v>
      </c>
      <c r="H197" s="12" t="s">
        <v>38</v>
      </c>
      <c r="I197" s="14" t="s">
        <v>39</v>
      </c>
    </row>
    <row r="198" spans="1:9" ht="15.75">
      <c r="A198" s="15"/>
      <c r="B198" s="21" t="s">
        <v>291</v>
      </c>
      <c r="C198" s="24">
        <v>3.94</v>
      </c>
      <c r="D198" s="10" t="s">
        <v>48</v>
      </c>
      <c r="E198" s="10" t="s">
        <v>5</v>
      </c>
      <c r="F198" s="12" t="s">
        <v>336</v>
      </c>
      <c r="G198" s="13">
        <v>3.89</v>
      </c>
      <c r="H198" s="12" t="s">
        <v>102</v>
      </c>
      <c r="I198" s="14" t="s">
        <v>5</v>
      </c>
    </row>
    <row r="199" spans="1:9" ht="15.75">
      <c r="A199" s="15"/>
      <c r="B199" s="21" t="s">
        <v>337</v>
      </c>
      <c r="C199" s="24">
        <v>3.87</v>
      </c>
      <c r="D199" s="10" t="s">
        <v>48</v>
      </c>
      <c r="E199" s="11" t="s">
        <v>5</v>
      </c>
      <c r="F199" s="12" t="s">
        <v>338</v>
      </c>
      <c r="G199" s="13">
        <v>3.89</v>
      </c>
      <c r="H199" s="12" t="s">
        <v>30</v>
      </c>
      <c r="I199" s="14" t="s">
        <v>5</v>
      </c>
    </row>
    <row r="200" spans="1:9" ht="15.75">
      <c r="A200" s="15"/>
      <c r="B200" s="21" t="s">
        <v>109</v>
      </c>
      <c r="C200" s="24">
        <v>4.3099999999999996</v>
      </c>
      <c r="D200" s="10" t="s">
        <v>48</v>
      </c>
      <c r="E200" s="11" t="s">
        <v>5</v>
      </c>
      <c r="F200" s="12" t="s">
        <v>339</v>
      </c>
      <c r="G200" s="13">
        <v>3.89</v>
      </c>
      <c r="H200" s="12" t="s">
        <v>102</v>
      </c>
      <c r="I200" s="14" t="s">
        <v>5</v>
      </c>
    </row>
    <row r="201" spans="1:9" ht="15.75">
      <c r="A201" s="15"/>
      <c r="B201" s="21" t="s">
        <v>340</v>
      </c>
      <c r="C201" s="34">
        <v>3.5</v>
      </c>
      <c r="D201" s="10" t="s">
        <v>48</v>
      </c>
      <c r="E201" s="11" t="s">
        <v>5</v>
      </c>
      <c r="F201" s="12" t="s">
        <v>341</v>
      </c>
      <c r="G201" s="13">
        <v>3.89</v>
      </c>
      <c r="H201" s="12" t="s">
        <v>38</v>
      </c>
      <c r="I201" s="14" t="s">
        <v>35</v>
      </c>
    </row>
    <row r="202" spans="1:9" ht="15.75">
      <c r="A202" s="15"/>
      <c r="B202" s="21" t="s">
        <v>342</v>
      </c>
      <c r="C202" s="34">
        <v>3.32</v>
      </c>
      <c r="D202" s="10" t="s">
        <v>48</v>
      </c>
      <c r="E202" s="11" t="s">
        <v>39</v>
      </c>
      <c r="F202" s="12" t="s">
        <v>122</v>
      </c>
      <c r="G202" s="17">
        <v>3.88</v>
      </c>
      <c r="H202" s="12" t="s">
        <v>4</v>
      </c>
      <c r="I202" s="14" t="s">
        <v>5</v>
      </c>
    </row>
    <row r="203" spans="1:9" ht="15.75">
      <c r="A203" s="15"/>
      <c r="B203" s="21" t="s">
        <v>343</v>
      </c>
      <c r="C203" s="34">
        <v>3.82</v>
      </c>
      <c r="D203" s="10" t="s">
        <v>48</v>
      </c>
      <c r="E203" s="11" t="s">
        <v>39</v>
      </c>
      <c r="F203" s="12" t="s">
        <v>139</v>
      </c>
      <c r="G203" s="12">
        <v>3.88</v>
      </c>
      <c r="H203" s="12" t="s">
        <v>4</v>
      </c>
      <c r="I203" s="14" t="s">
        <v>5</v>
      </c>
    </row>
    <row r="204" spans="1:9" ht="15.75">
      <c r="A204" s="15"/>
      <c r="B204" s="21" t="s">
        <v>344</v>
      </c>
      <c r="C204" s="34">
        <v>3.52</v>
      </c>
      <c r="D204" s="10" t="s">
        <v>48</v>
      </c>
      <c r="E204" s="11" t="s">
        <v>5</v>
      </c>
      <c r="F204" s="12" t="s">
        <v>222</v>
      </c>
      <c r="G204" s="17">
        <v>3.88</v>
      </c>
      <c r="H204" s="12" t="s">
        <v>4</v>
      </c>
      <c r="I204" s="14" t="s">
        <v>5</v>
      </c>
    </row>
    <row r="205" spans="1:9" ht="15.75">
      <c r="A205" s="15"/>
      <c r="B205" s="21" t="s">
        <v>293</v>
      </c>
      <c r="C205" s="34">
        <v>3.94</v>
      </c>
      <c r="D205" s="10" t="s">
        <v>48</v>
      </c>
      <c r="E205" s="10" t="s">
        <v>5</v>
      </c>
      <c r="F205" s="12" t="s">
        <v>270</v>
      </c>
      <c r="G205" s="12">
        <v>3.88</v>
      </c>
      <c r="H205" s="12" t="s">
        <v>48</v>
      </c>
      <c r="I205" s="14" t="s">
        <v>5</v>
      </c>
    </row>
    <row r="206" spans="1:9" ht="15.75">
      <c r="A206" s="15"/>
      <c r="B206" s="21" t="s">
        <v>345</v>
      </c>
      <c r="C206" s="34">
        <v>3.47</v>
      </c>
      <c r="D206" s="10" t="s">
        <v>48</v>
      </c>
      <c r="E206" s="11" t="s">
        <v>5</v>
      </c>
      <c r="F206" s="12" t="s">
        <v>346</v>
      </c>
      <c r="G206" s="12">
        <v>3.88</v>
      </c>
      <c r="H206" s="12" t="s">
        <v>71</v>
      </c>
      <c r="I206" s="14" t="s">
        <v>5</v>
      </c>
    </row>
    <row r="207" spans="1:9" ht="15.75">
      <c r="A207" s="15"/>
      <c r="B207" s="21" t="s">
        <v>347</v>
      </c>
      <c r="C207" s="34">
        <v>3.63</v>
      </c>
      <c r="D207" s="10" t="s">
        <v>48</v>
      </c>
      <c r="E207" s="11" t="s">
        <v>5</v>
      </c>
      <c r="F207" s="12" t="s">
        <v>348</v>
      </c>
      <c r="G207" s="12">
        <v>3.88</v>
      </c>
      <c r="H207" s="12" t="s">
        <v>71</v>
      </c>
      <c r="I207" s="14" t="s">
        <v>5</v>
      </c>
    </row>
    <row r="208" spans="1:9" ht="15.75">
      <c r="A208" s="15"/>
      <c r="B208" s="21" t="s">
        <v>349</v>
      </c>
      <c r="C208" s="24">
        <v>3.77</v>
      </c>
      <c r="D208" s="10" t="s">
        <v>48</v>
      </c>
      <c r="E208" s="11" t="s">
        <v>5</v>
      </c>
      <c r="F208" s="12" t="s">
        <v>350</v>
      </c>
      <c r="G208" s="17">
        <v>3.88</v>
      </c>
      <c r="H208" s="12" t="s">
        <v>38</v>
      </c>
      <c r="I208" s="14" t="s">
        <v>5</v>
      </c>
    </row>
    <row r="209" spans="1:9" ht="15.75">
      <c r="A209" s="15"/>
      <c r="B209" s="21" t="s">
        <v>351</v>
      </c>
      <c r="C209" s="34">
        <v>3.55</v>
      </c>
      <c r="D209" s="10" t="s">
        <v>48</v>
      </c>
      <c r="E209" s="11" t="s">
        <v>5</v>
      </c>
      <c r="F209" s="12" t="s">
        <v>352</v>
      </c>
      <c r="G209" s="13">
        <v>3.88</v>
      </c>
      <c r="H209" s="12" t="s">
        <v>38</v>
      </c>
      <c r="I209" s="14" t="s">
        <v>5</v>
      </c>
    </row>
    <row r="210" spans="1:9" ht="15.75">
      <c r="A210" s="15"/>
      <c r="B210" s="21" t="s">
        <v>353</v>
      </c>
      <c r="C210" s="24">
        <v>3.82</v>
      </c>
      <c r="D210" s="10" t="s">
        <v>48</v>
      </c>
      <c r="E210" s="11" t="s">
        <v>5</v>
      </c>
      <c r="F210" s="12" t="s">
        <v>348</v>
      </c>
      <c r="G210" s="13">
        <v>3.88</v>
      </c>
      <c r="H210" s="12" t="s">
        <v>102</v>
      </c>
      <c r="I210" s="14" t="s">
        <v>5</v>
      </c>
    </row>
    <row r="211" spans="1:9" ht="15.75">
      <c r="A211" s="15"/>
      <c r="B211" s="37" t="s">
        <v>354</v>
      </c>
      <c r="C211" s="38">
        <v>3.58</v>
      </c>
      <c r="D211" s="10" t="s">
        <v>48</v>
      </c>
      <c r="E211" s="11" t="s">
        <v>39</v>
      </c>
      <c r="F211" s="12" t="s">
        <v>346</v>
      </c>
      <c r="G211" s="13">
        <v>3.88</v>
      </c>
      <c r="H211" s="12" t="s">
        <v>11</v>
      </c>
      <c r="I211" s="14" t="s">
        <v>5</v>
      </c>
    </row>
    <row r="212" spans="1:9" ht="15.75">
      <c r="A212" s="15"/>
      <c r="B212" s="21" t="s">
        <v>355</v>
      </c>
      <c r="C212" s="24">
        <v>3.21</v>
      </c>
      <c r="D212" s="10" t="s">
        <v>48</v>
      </c>
      <c r="E212" s="11" t="s">
        <v>5</v>
      </c>
      <c r="F212" s="12" t="s">
        <v>356</v>
      </c>
      <c r="G212" s="13">
        <v>3.88</v>
      </c>
      <c r="H212" s="12" t="s">
        <v>30</v>
      </c>
      <c r="I212" s="14" t="s">
        <v>5</v>
      </c>
    </row>
    <row r="213" spans="1:9" ht="15.75">
      <c r="A213" s="15"/>
      <c r="B213" s="37" t="s">
        <v>357</v>
      </c>
      <c r="C213" s="38">
        <v>3.72</v>
      </c>
      <c r="D213" s="10" t="s">
        <v>48</v>
      </c>
      <c r="E213" s="11" t="s">
        <v>5</v>
      </c>
      <c r="F213" s="12" t="s">
        <v>358</v>
      </c>
      <c r="G213" s="13">
        <v>3.88</v>
      </c>
      <c r="H213" s="12" t="s">
        <v>30</v>
      </c>
      <c r="I213" s="14" t="s">
        <v>5</v>
      </c>
    </row>
    <row r="214" spans="1:9" ht="15.75">
      <c r="A214" s="15"/>
      <c r="B214" s="37" t="s">
        <v>359</v>
      </c>
      <c r="C214" s="38">
        <v>3.38</v>
      </c>
      <c r="D214" s="10" t="s">
        <v>48</v>
      </c>
      <c r="E214" s="11" t="s">
        <v>5</v>
      </c>
      <c r="F214" s="12" t="s">
        <v>360</v>
      </c>
      <c r="G214" s="13">
        <v>3.88</v>
      </c>
      <c r="H214" s="12" t="s">
        <v>4</v>
      </c>
      <c r="I214" s="14" t="s">
        <v>5</v>
      </c>
    </row>
    <row r="215" spans="1:9" ht="15.75">
      <c r="A215" s="15"/>
      <c r="B215" s="37" t="s">
        <v>361</v>
      </c>
      <c r="C215" s="36">
        <v>3.76</v>
      </c>
      <c r="D215" s="10" t="s">
        <v>48</v>
      </c>
      <c r="E215" s="11" t="s">
        <v>5</v>
      </c>
      <c r="F215" s="12" t="s">
        <v>337</v>
      </c>
      <c r="G215" s="12">
        <v>3.87</v>
      </c>
      <c r="H215" s="12" t="s">
        <v>48</v>
      </c>
      <c r="I215" s="14" t="s">
        <v>5</v>
      </c>
    </row>
    <row r="216" spans="1:9" ht="15.75">
      <c r="A216" s="15"/>
      <c r="B216" s="37" t="s">
        <v>362</v>
      </c>
      <c r="C216" s="38">
        <v>3.35</v>
      </c>
      <c r="D216" s="10" t="s">
        <v>48</v>
      </c>
      <c r="E216" s="11" t="s">
        <v>39</v>
      </c>
      <c r="F216" s="12" t="s">
        <v>363</v>
      </c>
      <c r="G216" s="13">
        <v>3.87</v>
      </c>
      <c r="H216" s="12" t="s">
        <v>71</v>
      </c>
      <c r="I216" s="14" t="s">
        <v>39</v>
      </c>
    </row>
    <row r="217" spans="1:9" ht="15.75">
      <c r="A217" s="15"/>
      <c r="B217" s="37" t="s">
        <v>321</v>
      </c>
      <c r="C217" s="38">
        <v>3.89</v>
      </c>
      <c r="D217" s="10" t="s">
        <v>48</v>
      </c>
      <c r="E217" s="10" t="s">
        <v>39</v>
      </c>
      <c r="F217" s="12" t="s">
        <v>364</v>
      </c>
      <c r="G217" s="13">
        <v>3.86</v>
      </c>
      <c r="H217" s="12" t="s">
        <v>58</v>
      </c>
      <c r="I217" s="14" t="s">
        <v>35</v>
      </c>
    </row>
    <row r="218" spans="1:9" ht="15.75">
      <c r="A218" s="15"/>
      <c r="B218" s="37" t="s">
        <v>295</v>
      </c>
      <c r="C218" s="38">
        <v>3.94</v>
      </c>
      <c r="D218" s="10" t="s">
        <v>48</v>
      </c>
      <c r="E218" s="11" t="s">
        <v>5</v>
      </c>
      <c r="F218" s="12" t="s">
        <v>100</v>
      </c>
      <c r="G218" s="17">
        <v>3.85</v>
      </c>
      <c r="H218" s="12" t="s">
        <v>4</v>
      </c>
      <c r="I218" s="14" t="s">
        <v>5</v>
      </c>
    </row>
    <row r="219" spans="1:9" ht="15.75">
      <c r="A219" s="15"/>
      <c r="B219" s="37" t="s">
        <v>365</v>
      </c>
      <c r="C219" s="38">
        <v>3.16</v>
      </c>
      <c r="D219" s="10" t="s">
        <v>48</v>
      </c>
      <c r="E219" s="10" t="s">
        <v>5</v>
      </c>
      <c r="F219" s="12" t="s">
        <v>216</v>
      </c>
      <c r="G219" s="12">
        <v>3.85</v>
      </c>
      <c r="H219" s="12" t="s">
        <v>4</v>
      </c>
      <c r="I219" s="14" t="s">
        <v>5</v>
      </c>
    </row>
    <row r="220" spans="1:9" ht="15.75">
      <c r="A220" s="15"/>
      <c r="B220" s="37" t="s">
        <v>366</v>
      </c>
      <c r="C220" s="36">
        <v>3.83</v>
      </c>
      <c r="D220" s="10" t="s">
        <v>48</v>
      </c>
      <c r="E220" s="11" t="s">
        <v>35</v>
      </c>
      <c r="F220" s="12" t="s">
        <v>367</v>
      </c>
      <c r="G220" s="12">
        <v>3.85</v>
      </c>
      <c r="H220" s="12" t="s">
        <v>48</v>
      </c>
      <c r="I220" s="14" t="s">
        <v>5</v>
      </c>
    </row>
    <row r="221" spans="1:9" ht="15.75">
      <c r="A221" s="15"/>
      <c r="B221" s="21" t="s">
        <v>368</v>
      </c>
      <c r="C221" s="34">
        <v>3.7</v>
      </c>
      <c r="D221" s="10" t="s">
        <v>48</v>
      </c>
      <c r="E221" s="11" t="s">
        <v>39</v>
      </c>
      <c r="F221" s="12" t="s">
        <v>369</v>
      </c>
      <c r="G221" s="17">
        <v>3.85</v>
      </c>
      <c r="H221" s="12" t="s">
        <v>58</v>
      </c>
      <c r="I221" s="14" t="s">
        <v>5</v>
      </c>
    </row>
    <row r="222" spans="1:9" ht="15.75">
      <c r="A222" s="15"/>
      <c r="B222" s="21" t="s">
        <v>370</v>
      </c>
      <c r="C222" s="24">
        <v>3.36</v>
      </c>
      <c r="D222" s="10" t="s">
        <v>48</v>
      </c>
      <c r="E222" s="10" t="s">
        <v>5</v>
      </c>
      <c r="F222" s="12" t="s">
        <v>371</v>
      </c>
      <c r="G222" s="13">
        <v>3.85</v>
      </c>
      <c r="H222" s="12" t="s">
        <v>38</v>
      </c>
      <c r="I222" s="14" t="s">
        <v>5</v>
      </c>
    </row>
    <row r="223" spans="1:9" ht="15.75">
      <c r="A223" s="15"/>
      <c r="B223" s="21" t="s">
        <v>174</v>
      </c>
      <c r="C223" s="24">
        <v>3.21</v>
      </c>
      <c r="D223" s="10" t="s">
        <v>48</v>
      </c>
      <c r="E223" s="11" t="s">
        <v>35</v>
      </c>
      <c r="F223" s="12" t="s">
        <v>369</v>
      </c>
      <c r="G223" s="13">
        <v>3.85</v>
      </c>
      <c r="H223" s="12" t="s">
        <v>11</v>
      </c>
      <c r="I223" s="14" t="s">
        <v>5</v>
      </c>
    </row>
    <row r="224" spans="1:9" ht="15.75">
      <c r="A224" s="15"/>
      <c r="B224" s="37" t="s">
        <v>254</v>
      </c>
      <c r="C224" s="38">
        <v>4</v>
      </c>
      <c r="D224" s="10" t="s">
        <v>48</v>
      </c>
      <c r="E224" s="11" t="s">
        <v>5</v>
      </c>
      <c r="F224" s="12" t="s">
        <v>372</v>
      </c>
      <c r="G224" s="13">
        <v>3.85</v>
      </c>
      <c r="H224" s="12" t="s">
        <v>30</v>
      </c>
      <c r="I224" s="14" t="s">
        <v>5</v>
      </c>
    </row>
    <row r="225" spans="1:9" ht="15.75">
      <c r="A225" s="15"/>
      <c r="B225" s="21" t="s">
        <v>373</v>
      </c>
      <c r="C225" s="34">
        <v>3.73</v>
      </c>
      <c r="D225" s="10" t="s">
        <v>48</v>
      </c>
      <c r="E225" s="11" t="s">
        <v>5</v>
      </c>
      <c r="F225" s="12" t="s">
        <v>374</v>
      </c>
      <c r="G225" s="13">
        <v>3.85</v>
      </c>
      <c r="H225" s="12" t="s">
        <v>71</v>
      </c>
      <c r="I225" s="14" t="s">
        <v>35</v>
      </c>
    </row>
    <row r="226" spans="1:9" ht="15.75">
      <c r="A226" s="15"/>
      <c r="B226" s="37" t="s">
        <v>375</v>
      </c>
      <c r="C226" s="38">
        <v>3.63</v>
      </c>
      <c r="D226" s="10" t="s">
        <v>48</v>
      </c>
      <c r="E226" s="11" t="s">
        <v>5</v>
      </c>
      <c r="F226" s="12" t="s">
        <v>87</v>
      </c>
      <c r="G226" s="12">
        <v>3.84</v>
      </c>
      <c r="H226" s="12" t="s">
        <v>4</v>
      </c>
      <c r="I226" s="14" t="s">
        <v>5</v>
      </c>
    </row>
    <row r="227" spans="1:9" ht="15.75">
      <c r="A227" s="15"/>
      <c r="B227" s="37" t="s">
        <v>293</v>
      </c>
      <c r="C227" s="38">
        <v>3.72</v>
      </c>
      <c r="D227" s="10" t="s">
        <v>48</v>
      </c>
      <c r="E227" s="11" t="s">
        <v>5</v>
      </c>
      <c r="F227" s="12" t="s">
        <v>104</v>
      </c>
      <c r="G227" s="12">
        <v>3.84</v>
      </c>
      <c r="H227" s="12" t="s">
        <v>4</v>
      </c>
      <c r="I227" s="14" t="s">
        <v>39</v>
      </c>
    </row>
    <row r="228" spans="1:9" ht="15.75">
      <c r="A228" s="15"/>
      <c r="B228" s="37" t="s">
        <v>376</v>
      </c>
      <c r="C228" s="36">
        <v>3.26</v>
      </c>
      <c r="D228" s="10" t="s">
        <v>48</v>
      </c>
      <c r="E228" s="11" t="s">
        <v>5</v>
      </c>
      <c r="F228" s="12" t="s">
        <v>176</v>
      </c>
      <c r="G228" s="12">
        <v>3.84</v>
      </c>
      <c r="H228" s="12" t="s">
        <v>4</v>
      </c>
      <c r="I228" s="14" t="s">
        <v>5</v>
      </c>
    </row>
    <row r="229" spans="1:9" ht="15.75">
      <c r="A229" s="15"/>
      <c r="B229" s="37" t="s">
        <v>377</v>
      </c>
      <c r="C229" s="36">
        <v>3.34</v>
      </c>
      <c r="D229" s="10" t="s">
        <v>48</v>
      </c>
      <c r="E229" s="11" t="s">
        <v>39</v>
      </c>
      <c r="F229" s="12" t="s">
        <v>234</v>
      </c>
      <c r="G229" s="17">
        <v>3.84</v>
      </c>
      <c r="H229" s="12" t="s">
        <v>4</v>
      </c>
      <c r="I229" s="14" t="s">
        <v>5</v>
      </c>
    </row>
    <row r="230" spans="1:9" ht="15.75">
      <c r="A230" s="15"/>
      <c r="B230" s="37" t="s">
        <v>378</v>
      </c>
      <c r="C230" s="38">
        <v>3.3</v>
      </c>
      <c r="D230" s="10" t="s">
        <v>48</v>
      </c>
      <c r="E230" s="11" t="s">
        <v>35</v>
      </c>
      <c r="F230" s="12" t="s">
        <v>286</v>
      </c>
      <c r="G230" s="12">
        <v>3.84</v>
      </c>
      <c r="H230" s="12" t="s">
        <v>48</v>
      </c>
      <c r="I230" s="14" t="s">
        <v>5</v>
      </c>
    </row>
    <row r="231" spans="1:9" ht="15.75">
      <c r="A231" s="15"/>
      <c r="B231" s="37" t="s">
        <v>379</v>
      </c>
      <c r="C231" s="38">
        <v>3.44</v>
      </c>
      <c r="D231" s="10" t="s">
        <v>48</v>
      </c>
      <c r="E231" s="11" t="s">
        <v>5</v>
      </c>
      <c r="F231" s="12" t="s">
        <v>380</v>
      </c>
      <c r="G231" s="17">
        <v>3.84</v>
      </c>
      <c r="H231" s="12" t="s">
        <v>48</v>
      </c>
      <c r="I231" s="14" t="s">
        <v>5</v>
      </c>
    </row>
    <row r="232" spans="1:9" ht="15.75">
      <c r="A232" s="15"/>
      <c r="B232" s="37" t="s">
        <v>381</v>
      </c>
      <c r="C232" s="38">
        <v>3.43</v>
      </c>
      <c r="D232" s="10" t="s">
        <v>48</v>
      </c>
      <c r="E232" s="10" t="s">
        <v>5</v>
      </c>
      <c r="F232" s="12" t="s">
        <v>382</v>
      </c>
      <c r="G232" s="12">
        <v>3.84</v>
      </c>
      <c r="H232" s="12" t="s">
        <v>71</v>
      </c>
      <c r="I232" s="14" t="s">
        <v>5</v>
      </c>
    </row>
    <row r="233" spans="1:9" ht="15.75">
      <c r="A233" s="15"/>
      <c r="B233" s="37" t="s">
        <v>383</v>
      </c>
      <c r="C233" s="36">
        <v>3</v>
      </c>
      <c r="D233" s="10" t="s">
        <v>48</v>
      </c>
      <c r="E233" s="11" t="s">
        <v>5</v>
      </c>
      <c r="F233" s="12" t="s">
        <v>384</v>
      </c>
      <c r="G233" s="12">
        <v>3.84</v>
      </c>
      <c r="H233" s="12" t="s">
        <v>71</v>
      </c>
      <c r="I233" s="14" t="s">
        <v>5</v>
      </c>
    </row>
    <row r="234" spans="1:9" ht="15.75">
      <c r="A234" s="15"/>
      <c r="B234" s="37" t="s">
        <v>385</v>
      </c>
      <c r="C234" s="36">
        <v>3.31</v>
      </c>
      <c r="D234" s="10" t="s">
        <v>48</v>
      </c>
      <c r="E234" s="11" t="s">
        <v>5</v>
      </c>
      <c r="F234" s="12" t="s">
        <v>386</v>
      </c>
      <c r="G234" s="12">
        <v>3.84</v>
      </c>
      <c r="H234" s="12" t="s">
        <v>71</v>
      </c>
      <c r="I234" s="14" t="s">
        <v>39</v>
      </c>
    </row>
    <row r="235" spans="1:9" ht="15.75">
      <c r="A235" s="15"/>
      <c r="B235" s="37" t="s">
        <v>387</v>
      </c>
      <c r="C235" s="38">
        <v>3.2</v>
      </c>
      <c r="D235" s="10" t="s">
        <v>48</v>
      </c>
      <c r="E235" s="11" t="s">
        <v>5</v>
      </c>
      <c r="F235" s="12" t="s">
        <v>388</v>
      </c>
      <c r="G235" s="12">
        <v>3.84</v>
      </c>
      <c r="H235" s="12" t="s">
        <v>71</v>
      </c>
      <c r="I235" s="14" t="s">
        <v>5</v>
      </c>
    </row>
    <row r="236" spans="1:9" ht="15.75">
      <c r="A236" s="15"/>
      <c r="B236" s="37" t="s">
        <v>389</v>
      </c>
      <c r="C236" s="36">
        <v>3.35</v>
      </c>
      <c r="D236" s="10" t="s">
        <v>48</v>
      </c>
      <c r="E236" s="11" t="s">
        <v>5</v>
      </c>
      <c r="F236" s="12" t="s">
        <v>390</v>
      </c>
      <c r="G236" s="17">
        <v>3.84</v>
      </c>
      <c r="H236" s="12" t="s">
        <v>58</v>
      </c>
      <c r="I236" s="14" t="s">
        <v>35</v>
      </c>
    </row>
    <row r="237" spans="1:9" ht="15.75">
      <c r="A237" s="15"/>
      <c r="B237" s="37" t="s">
        <v>391</v>
      </c>
      <c r="C237" s="38">
        <v>3.17</v>
      </c>
      <c r="D237" s="10" t="s">
        <v>48</v>
      </c>
      <c r="E237" s="11" t="s">
        <v>5</v>
      </c>
      <c r="F237" s="12" t="s">
        <v>392</v>
      </c>
      <c r="G237" s="17">
        <v>3.84</v>
      </c>
      <c r="H237" s="12" t="s">
        <v>58</v>
      </c>
      <c r="I237" s="14" t="s">
        <v>39</v>
      </c>
    </row>
    <row r="238" spans="1:9" ht="15.75">
      <c r="A238" s="15"/>
      <c r="B238" s="37" t="s">
        <v>393</v>
      </c>
      <c r="C238" s="36">
        <v>3.55</v>
      </c>
      <c r="D238" s="10" t="s">
        <v>48</v>
      </c>
      <c r="E238" s="11" t="s">
        <v>5</v>
      </c>
      <c r="F238" s="12" t="s">
        <v>286</v>
      </c>
      <c r="G238" s="17">
        <v>3.84</v>
      </c>
      <c r="H238" s="12" t="s">
        <v>38</v>
      </c>
      <c r="I238" s="14" t="s">
        <v>5</v>
      </c>
    </row>
    <row r="239" spans="1:9" ht="15" customHeight="1">
      <c r="A239" s="15"/>
      <c r="B239" s="37" t="s">
        <v>394</v>
      </c>
      <c r="C239" s="38">
        <v>3.72</v>
      </c>
      <c r="D239" s="10" t="s">
        <v>48</v>
      </c>
      <c r="E239" s="10" t="s">
        <v>5</v>
      </c>
      <c r="F239" s="12" t="s">
        <v>395</v>
      </c>
      <c r="G239" s="17">
        <v>3.84</v>
      </c>
      <c r="H239" s="12" t="s">
        <v>38</v>
      </c>
      <c r="I239" s="14" t="s">
        <v>5</v>
      </c>
    </row>
    <row r="240" spans="1:9" ht="18.75" customHeight="1">
      <c r="A240" s="15"/>
      <c r="B240" s="37" t="s">
        <v>396</v>
      </c>
      <c r="C240" s="38">
        <v>3.44</v>
      </c>
      <c r="D240" s="10" t="s">
        <v>48</v>
      </c>
      <c r="E240" s="11" t="s">
        <v>5</v>
      </c>
      <c r="F240" s="12" t="s">
        <v>388</v>
      </c>
      <c r="G240" s="13">
        <v>3.84</v>
      </c>
      <c r="H240" s="12" t="s">
        <v>102</v>
      </c>
      <c r="I240" s="14" t="s">
        <v>5</v>
      </c>
    </row>
    <row r="241" spans="1:9" ht="18.75" customHeight="1">
      <c r="A241" s="15"/>
      <c r="B241" s="35" t="s">
        <v>397</v>
      </c>
      <c r="C241" s="34">
        <v>3.63</v>
      </c>
      <c r="D241" s="10" t="s">
        <v>48</v>
      </c>
      <c r="E241" s="11" t="s">
        <v>5</v>
      </c>
      <c r="F241" s="12" t="s">
        <v>398</v>
      </c>
      <c r="G241" s="13">
        <v>3.84</v>
      </c>
      <c r="H241" s="12" t="s">
        <v>30</v>
      </c>
      <c r="I241" s="14" t="s">
        <v>5</v>
      </c>
    </row>
    <row r="242" spans="1:9" ht="18.75" customHeight="1">
      <c r="A242" s="15"/>
      <c r="B242" s="21" t="s">
        <v>399</v>
      </c>
      <c r="C242" s="34">
        <v>3.74</v>
      </c>
      <c r="D242" s="10" t="s">
        <v>48</v>
      </c>
      <c r="E242" s="10" t="s">
        <v>5</v>
      </c>
      <c r="F242" s="12" t="s">
        <v>400</v>
      </c>
      <c r="G242" s="13">
        <v>3.84</v>
      </c>
      <c r="H242" s="12" t="s">
        <v>30</v>
      </c>
      <c r="I242" s="14" t="s">
        <v>5</v>
      </c>
    </row>
    <row r="243" spans="1:9" ht="15.75">
      <c r="A243" s="15"/>
      <c r="B243" s="21" t="s">
        <v>401</v>
      </c>
      <c r="C243" s="24">
        <v>3.53</v>
      </c>
      <c r="D243" s="10" t="s">
        <v>48</v>
      </c>
      <c r="E243" s="11" t="s">
        <v>35</v>
      </c>
      <c r="F243" s="12" t="s">
        <v>402</v>
      </c>
      <c r="G243" s="13">
        <v>3.84</v>
      </c>
      <c r="H243" s="12" t="s">
        <v>4</v>
      </c>
      <c r="I243" s="14" t="s">
        <v>5</v>
      </c>
    </row>
    <row r="244" spans="1:9" ht="15.75">
      <c r="A244" s="15"/>
      <c r="B244" s="35" t="s">
        <v>306</v>
      </c>
      <c r="C244" s="24">
        <v>3.9</v>
      </c>
      <c r="D244" s="10" t="s">
        <v>48</v>
      </c>
      <c r="E244" s="11" t="s">
        <v>5</v>
      </c>
      <c r="F244" s="12" t="s">
        <v>402</v>
      </c>
      <c r="G244" s="13">
        <v>3.84</v>
      </c>
      <c r="H244" s="12" t="s">
        <v>38</v>
      </c>
      <c r="I244" s="14" t="s">
        <v>5</v>
      </c>
    </row>
    <row r="245" spans="1:9" ht="15.75">
      <c r="A245" s="15"/>
      <c r="B245" s="21" t="s">
        <v>403</v>
      </c>
      <c r="C245" s="24">
        <v>3.47</v>
      </c>
      <c r="D245" s="10" t="s">
        <v>48</v>
      </c>
      <c r="E245" s="11" t="s">
        <v>5</v>
      </c>
      <c r="F245" s="12" t="s">
        <v>404</v>
      </c>
      <c r="G245" s="13">
        <v>3.84</v>
      </c>
      <c r="H245" s="12" t="s">
        <v>48</v>
      </c>
      <c r="I245" s="14" t="s">
        <v>5</v>
      </c>
    </row>
    <row r="246" spans="1:9" ht="15.75">
      <c r="A246" s="15"/>
      <c r="B246" s="35" t="s">
        <v>405</v>
      </c>
      <c r="C246" s="24">
        <v>3.16</v>
      </c>
      <c r="D246" s="10" t="s">
        <v>48</v>
      </c>
      <c r="E246" s="11" t="s">
        <v>5</v>
      </c>
      <c r="F246" s="12" t="s">
        <v>406</v>
      </c>
      <c r="G246" s="13">
        <v>3.84</v>
      </c>
      <c r="H246" s="12" t="s">
        <v>38</v>
      </c>
      <c r="I246" s="14" t="s">
        <v>5</v>
      </c>
    </row>
    <row r="247" spans="1:9" ht="15.75">
      <c r="A247" s="15"/>
      <c r="B247" s="35" t="s">
        <v>407</v>
      </c>
      <c r="C247" s="24">
        <v>3.47</v>
      </c>
      <c r="D247" s="10" t="s">
        <v>48</v>
      </c>
      <c r="E247" s="11" t="s">
        <v>5</v>
      </c>
      <c r="F247" s="12" t="s">
        <v>408</v>
      </c>
      <c r="G247" s="13">
        <v>3.84</v>
      </c>
      <c r="H247" s="12" t="s">
        <v>71</v>
      </c>
      <c r="I247" s="14" t="s">
        <v>35</v>
      </c>
    </row>
    <row r="248" spans="1:9" ht="15.75">
      <c r="A248" s="15"/>
      <c r="B248" s="35" t="s">
        <v>409</v>
      </c>
      <c r="C248" s="24">
        <v>3.79</v>
      </c>
      <c r="D248" s="10" t="s">
        <v>48</v>
      </c>
      <c r="E248" s="11" t="s">
        <v>5</v>
      </c>
      <c r="F248" s="12" t="s">
        <v>124</v>
      </c>
      <c r="G248" s="12">
        <v>3.83</v>
      </c>
      <c r="H248" s="12" t="s">
        <v>4</v>
      </c>
      <c r="I248" s="14" t="s">
        <v>5</v>
      </c>
    </row>
    <row r="249" spans="1:9" ht="15.75">
      <c r="A249" s="15"/>
      <c r="B249" s="35" t="s">
        <v>323</v>
      </c>
      <c r="C249" s="24">
        <v>3.89</v>
      </c>
      <c r="D249" s="10" t="s">
        <v>48</v>
      </c>
      <c r="E249" s="11" t="s">
        <v>5</v>
      </c>
      <c r="F249" s="12" t="s">
        <v>192</v>
      </c>
      <c r="G249" s="12">
        <v>3.83</v>
      </c>
      <c r="H249" s="12" t="s">
        <v>4</v>
      </c>
      <c r="I249" s="14" t="s">
        <v>5</v>
      </c>
    </row>
    <row r="250" spans="1:9" ht="15.75">
      <c r="A250" s="15"/>
      <c r="B250" s="35" t="s">
        <v>256</v>
      </c>
      <c r="C250" s="24">
        <v>4</v>
      </c>
      <c r="D250" s="10" t="s">
        <v>48</v>
      </c>
      <c r="E250" s="10" t="s">
        <v>5</v>
      </c>
      <c r="F250" s="12" t="s">
        <v>239</v>
      </c>
      <c r="G250" s="12">
        <v>3.83</v>
      </c>
      <c r="H250" s="12" t="s">
        <v>4</v>
      </c>
      <c r="I250" s="14" t="s">
        <v>5</v>
      </c>
    </row>
    <row r="251" spans="1:9" ht="15.75">
      <c r="A251" s="15"/>
      <c r="B251" s="21" t="s">
        <v>410</v>
      </c>
      <c r="C251" s="24">
        <v>3.83</v>
      </c>
      <c r="D251" s="10" t="s">
        <v>48</v>
      </c>
      <c r="E251" s="11" t="s">
        <v>5</v>
      </c>
      <c r="F251" s="12" t="s">
        <v>249</v>
      </c>
      <c r="G251" s="12">
        <v>3.83</v>
      </c>
      <c r="H251" s="12" t="s">
        <v>48</v>
      </c>
      <c r="I251" s="14" t="s">
        <v>5</v>
      </c>
    </row>
    <row r="252" spans="1:9" ht="15.75">
      <c r="A252" s="15"/>
      <c r="B252" s="21" t="s">
        <v>411</v>
      </c>
      <c r="C252" s="24">
        <v>3.63</v>
      </c>
      <c r="D252" s="10" t="s">
        <v>48</v>
      </c>
      <c r="E252" s="11" t="s">
        <v>35</v>
      </c>
      <c r="F252" s="12" t="s">
        <v>366</v>
      </c>
      <c r="G252" s="17">
        <v>3.83</v>
      </c>
      <c r="H252" s="12" t="s">
        <v>48</v>
      </c>
      <c r="I252" s="14" t="s">
        <v>35</v>
      </c>
    </row>
    <row r="253" spans="1:9" ht="15.75">
      <c r="A253" s="15"/>
      <c r="B253" s="21" t="s">
        <v>412</v>
      </c>
      <c r="C253" s="34">
        <v>3.56</v>
      </c>
      <c r="D253" s="10" t="s">
        <v>48</v>
      </c>
      <c r="E253" s="11" t="s">
        <v>5</v>
      </c>
      <c r="F253" s="12" t="s">
        <v>410</v>
      </c>
      <c r="G253" s="12">
        <v>3.83</v>
      </c>
      <c r="H253" s="12" t="s">
        <v>48</v>
      </c>
      <c r="I253" s="14" t="s">
        <v>5</v>
      </c>
    </row>
    <row r="254" spans="1:9" ht="15.75">
      <c r="A254" s="15"/>
      <c r="B254" s="21" t="s">
        <v>413</v>
      </c>
      <c r="C254" s="24">
        <v>3.53</v>
      </c>
      <c r="D254" s="10" t="s">
        <v>48</v>
      </c>
      <c r="E254" s="11" t="s">
        <v>5</v>
      </c>
      <c r="F254" s="12" t="s">
        <v>335</v>
      </c>
      <c r="G254" s="17">
        <v>3.83</v>
      </c>
      <c r="H254" s="12" t="s">
        <v>48</v>
      </c>
      <c r="I254" s="14" t="s">
        <v>5</v>
      </c>
    </row>
    <row r="255" spans="1:9" ht="15.75">
      <c r="A255" s="15"/>
      <c r="B255" s="35" t="s">
        <v>258</v>
      </c>
      <c r="C255" s="34">
        <v>4</v>
      </c>
      <c r="D255" s="10" t="s">
        <v>48</v>
      </c>
      <c r="E255" s="11" t="s">
        <v>5</v>
      </c>
      <c r="F255" s="12" t="s">
        <v>249</v>
      </c>
      <c r="G255" s="12">
        <v>3.83</v>
      </c>
      <c r="H255" s="12" t="s">
        <v>71</v>
      </c>
      <c r="I255" s="14" t="s">
        <v>5</v>
      </c>
    </row>
    <row r="256" spans="1:9" ht="15.75">
      <c r="A256" s="15"/>
      <c r="B256" s="21" t="s">
        <v>414</v>
      </c>
      <c r="C256" s="24">
        <v>3.11</v>
      </c>
      <c r="D256" s="10" t="s">
        <v>48</v>
      </c>
      <c r="E256" s="11" t="s">
        <v>5</v>
      </c>
      <c r="F256" s="12" t="s">
        <v>249</v>
      </c>
      <c r="G256" s="17">
        <v>3.83</v>
      </c>
      <c r="H256" s="12" t="s">
        <v>38</v>
      </c>
      <c r="I256" s="14" t="s">
        <v>35</v>
      </c>
    </row>
    <row r="257" spans="1:9" ht="15.75">
      <c r="A257" s="15"/>
      <c r="B257" s="21" t="s">
        <v>415</v>
      </c>
      <c r="C257" s="24">
        <v>3.79</v>
      </c>
      <c r="D257" s="10" t="s">
        <v>48</v>
      </c>
      <c r="E257" s="10" t="s">
        <v>5</v>
      </c>
      <c r="F257" s="12" t="s">
        <v>416</v>
      </c>
      <c r="G257" s="17">
        <v>3.83</v>
      </c>
      <c r="H257" s="12" t="s">
        <v>38</v>
      </c>
      <c r="I257" s="14" t="s">
        <v>5</v>
      </c>
    </row>
    <row r="258" spans="1:9" ht="15.75">
      <c r="A258" s="15"/>
      <c r="B258" s="35" t="s">
        <v>191</v>
      </c>
      <c r="C258" s="34">
        <v>4.1100000000000003</v>
      </c>
      <c r="D258" s="10" t="s">
        <v>48</v>
      </c>
      <c r="E258" s="11" t="s">
        <v>5</v>
      </c>
      <c r="F258" s="12" t="s">
        <v>335</v>
      </c>
      <c r="G258" s="13">
        <v>3.83</v>
      </c>
      <c r="H258" s="12" t="s">
        <v>102</v>
      </c>
      <c r="I258" s="14" t="s">
        <v>5</v>
      </c>
    </row>
    <row r="259" spans="1:9" ht="15.75">
      <c r="A259" s="15"/>
      <c r="B259" s="37" t="s">
        <v>417</v>
      </c>
      <c r="C259" s="38">
        <v>3.79</v>
      </c>
      <c r="D259" s="10" t="s">
        <v>48</v>
      </c>
      <c r="E259" s="11" t="s">
        <v>5</v>
      </c>
      <c r="F259" s="12" t="s">
        <v>418</v>
      </c>
      <c r="G259" s="13">
        <v>3.83</v>
      </c>
      <c r="H259" s="12" t="s">
        <v>71</v>
      </c>
      <c r="I259" s="14" t="s">
        <v>35</v>
      </c>
    </row>
    <row r="260" spans="1:9" ht="15.75">
      <c r="A260" s="15"/>
      <c r="B260" s="37" t="s">
        <v>419</v>
      </c>
      <c r="C260" s="36">
        <v>3.63</v>
      </c>
      <c r="D260" s="10" t="s">
        <v>48</v>
      </c>
      <c r="E260" s="11" t="s">
        <v>39</v>
      </c>
      <c r="F260" s="12" t="s">
        <v>343</v>
      </c>
      <c r="G260" s="17">
        <v>3.82</v>
      </c>
      <c r="H260" s="12" t="s">
        <v>48</v>
      </c>
      <c r="I260" s="14" t="s">
        <v>39</v>
      </c>
    </row>
    <row r="261" spans="1:9" ht="15.75">
      <c r="A261" s="15"/>
      <c r="B261" s="21" t="s">
        <v>420</v>
      </c>
      <c r="C261" s="34">
        <v>3.26</v>
      </c>
      <c r="D261" s="10" t="s">
        <v>48</v>
      </c>
      <c r="E261" s="11" t="s">
        <v>5</v>
      </c>
      <c r="F261" s="12" t="s">
        <v>353</v>
      </c>
      <c r="G261" s="12">
        <v>3.82</v>
      </c>
      <c r="H261" s="12" t="s">
        <v>48</v>
      </c>
      <c r="I261" s="14" t="s">
        <v>5</v>
      </c>
    </row>
    <row r="262" spans="1:9" ht="15.75">
      <c r="A262" s="15"/>
      <c r="B262" s="37" t="s">
        <v>129</v>
      </c>
      <c r="C262" s="38">
        <v>4.26</v>
      </c>
      <c r="D262" s="10" t="s">
        <v>48</v>
      </c>
      <c r="E262" s="11" t="s">
        <v>5</v>
      </c>
      <c r="F262" s="12" t="s">
        <v>205</v>
      </c>
      <c r="G262" s="12">
        <v>3.81</v>
      </c>
      <c r="H262" s="12" t="s">
        <v>4</v>
      </c>
      <c r="I262" s="14" t="s">
        <v>35</v>
      </c>
    </row>
    <row r="263" spans="1:9" ht="15.75">
      <c r="A263" s="15"/>
      <c r="B263" s="21" t="s">
        <v>421</v>
      </c>
      <c r="C263" s="34">
        <v>3.48</v>
      </c>
      <c r="D263" s="10" t="s">
        <v>48</v>
      </c>
      <c r="E263" s="11" t="s">
        <v>5</v>
      </c>
      <c r="F263" s="12" t="s">
        <v>422</v>
      </c>
      <c r="G263" s="12">
        <v>3.8</v>
      </c>
      <c r="H263" s="12" t="s">
        <v>71</v>
      </c>
      <c r="I263" s="14" t="s">
        <v>5</v>
      </c>
    </row>
    <row r="264" spans="1:9" ht="15.75">
      <c r="A264" s="15"/>
      <c r="B264" s="37" t="s">
        <v>277</v>
      </c>
      <c r="C264" s="38">
        <v>3.95</v>
      </c>
      <c r="D264" s="10" t="s">
        <v>48</v>
      </c>
      <c r="E264" s="11" t="s">
        <v>35</v>
      </c>
      <c r="F264" s="12" t="s">
        <v>423</v>
      </c>
      <c r="G264" s="17">
        <v>3.8</v>
      </c>
      <c r="H264" s="12" t="s">
        <v>58</v>
      </c>
      <c r="I264" s="14" t="s">
        <v>39</v>
      </c>
    </row>
    <row r="265" spans="1:9" ht="15.75">
      <c r="A265" s="15"/>
      <c r="B265" s="37" t="s">
        <v>424</v>
      </c>
      <c r="C265" s="38">
        <v>3.22</v>
      </c>
      <c r="D265" s="10" t="s">
        <v>48</v>
      </c>
      <c r="E265" s="10" t="s">
        <v>5</v>
      </c>
      <c r="F265" s="12" t="s">
        <v>268</v>
      </c>
      <c r="G265" s="17">
        <v>3.8</v>
      </c>
      <c r="H265" s="12" t="s">
        <v>38</v>
      </c>
      <c r="I265" s="14" t="s">
        <v>5</v>
      </c>
    </row>
    <row r="266" spans="1:9" ht="15.75">
      <c r="A266" s="15"/>
      <c r="B266" s="37" t="s">
        <v>425</v>
      </c>
      <c r="C266" s="38">
        <v>3.42</v>
      </c>
      <c r="D266" s="10" t="s">
        <v>48</v>
      </c>
      <c r="E266" s="11" t="s">
        <v>5</v>
      </c>
      <c r="F266" s="12" t="s">
        <v>426</v>
      </c>
      <c r="G266" s="12">
        <v>3.8</v>
      </c>
      <c r="H266" s="12" t="s">
        <v>38</v>
      </c>
      <c r="I266" s="14" t="s">
        <v>5</v>
      </c>
    </row>
    <row r="267" spans="1:9" ht="15.75">
      <c r="A267" s="15"/>
      <c r="B267" s="37" t="s">
        <v>380</v>
      </c>
      <c r="C267" s="36">
        <v>3.84</v>
      </c>
      <c r="D267" s="10" t="s">
        <v>48</v>
      </c>
      <c r="E267" s="11" t="s">
        <v>5</v>
      </c>
      <c r="F267" s="12" t="s">
        <v>427</v>
      </c>
      <c r="G267" s="12">
        <v>3.8</v>
      </c>
      <c r="H267" s="12" t="s">
        <v>30</v>
      </c>
      <c r="I267" s="14" t="s">
        <v>5</v>
      </c>
    </row>
    <row r="268" spans="1:9" ht="15.75">
      <c r="A268" s="15"/>
      <c r="B268" s="37" t="s">
        <v>428</v>
      </c>
      <c r="C268" s="38">
        <v>3.11</v>
      </c>
      <c r="D268" s="10" t="s">
        <v>48</v>
      </c>
      <c r="E268" s="11" t="s">
        <v>5</v>
      </c>
      <c r="F268" s="12" t="s">
        <v>257</v>
      </c>
      <c r="G268" s="12">
        <v>3.79</v>
      </c>
      <c r="H268" s="12" t="s">
        <v>48</v>
      </c>
      <c r="I268" s="14" t="s">
        <v>5</v>
      </c>
    </row>
    <row r="269" spans="1:9" ht="15.75">
      <c r="A269" s="15"/>
      <c r="B269" s="37" t="s">
        <v>429</v>
      </c>
      <c r="C269" s="36">
        <v>3.78</v>
      </c>
      <c r="D269" s="10" t="s">
        <v>48</v>
      </c>
      <c r="E269" s="11" t="s">
        <v>5</v>
      </c>
      <c r="F269" s="12" t="s">
        <v>294</v>
      </c>
      <c r="G269" s="12">
        <v>3.79</v>
      </c>
      <c r="H269" s="12" t="s">
        <v>48</v>
      </c>
      <c r="I269" s="14" t="s">
        <v>35</v>
      </c>
    </row>
    <row r="270" spans="1:9" ht="15.75">
      <c r="A270" s="15"/>
      <c r="B270" s="37" t="s">
        <v>367</v>
      </c>
      <c r="C270" s="38">
        <v>3.85</v>
      </c>
      <c r="D270" s="10" t="s">
        <v>48</v>
      </c>
      <c r="E270" s="11" t="s">
        <v>5</v>
      </c>
      <c r="F270" s="12" t="s">
        <v>409</v>
      </c>
      <c r="G270" s="12">
        <v>3.79</v>
      </c>
      <c r="H270" s="12" t="s">
        <v>48</v>
      </c>
      <c r="I270" s="14" t="s">
        <v>5</v>
      </c>
    </row>
    <row r="271" spans="1:9" ht="15.75">
      <c r="A271" s="15"/>
      <c r="B271" s="37" t="s">
        <v>430</v>
      </c>
      <c r="C271" s="38">
        <v>3.61</v>
      </c>
      <c r="D271" s="10" t="s">
        <v>48</v>
      </c>
      <c r="E271" s="11" t="s">
        <v>5</v>
      </c>
      <c r="F271" s="12" t="s">
        <v>415</v>
      </c>
      <c r="G271" s="12">
        <v>3.79</v>
      </c>
      <c r="H271" s="12" t="s">
        <v>48</v>
      </c>
      <c r="I271" s="14" t="s">
        <v>5</v>
      </c>
    </row>
    <row r="272" spans="1:9" ht="15.75">
      <c r="A272" s="15"/>
      <c r="B272" s="37" t="s">
        <v>431</v>
      </c>
      <c r="C272" s="36">
        <v>3.42</v>
      </c>
      <c r="D272" s="10" t="s">
        <v>48</v>
      </c>
      <c r="E272" s="11" t="s">
        <v>5</v>
      </c>
      <c r="F272" s="12" t="s">
        <v>417</v>
      </c>
      <c r="G272" s="12">
        <v>3.79</v>
      </c>
      <c r="H272" s="12" t="s">
        <v>48</v>
      </c>
      <c r="I272" s="14" t="s">
        <v>5</v>
      </c>
    </row>
    <row r="273" spans="1:9" ht="15.75">
      <c r="A273" s="15"/>
      <c r="B273" s="37" t="s">
        <v>193</v>
      </c>
      <c r="C273" s="36">
        <v>4.1100000000000003</v>
      </c>
      <c r="D273" s="10" t="s">
        <v>48</v>
      </c>
      <c r="E273" s="10" t="s">
        <v>5</v>
      </c>
      <c r="F273" s="12" t="s">
        <v>294</v>
      </c>
      <c r="G273" s="12">
        <v>3.79</v>
      </c>
      <c r="H273" s="12" t="s">
        <v>71</v>
      </c>
      <c r="I273" s="14" t="s">
        <v>5</v>
      </c>
    </row>
    <row r="274" spans="1:9" ht="15.75">
      <c r="A274" s="15"/>
      <c r="B274" s="37" t="s">
        <v>432</v>
      </c>
      <c r="C274" s="38">
        <v>3.22</v>
      </c>
      <c r="D274" s="10" t="s">
        <v>48</v>
      </c>
      <c r="E274" s="10" t="s">
        <v>39</v>
      </c>
      <c r="F274" s="12" t="s">
        <v>294</v>
      </c>
      <c r="G274" s="17">
        <v>3.79</v>
      </c>
      <c r="H274" s="12" t="s">
        <v>58</v>
      </c>
      <c r="I274" s="14" t="s">
        <v>5</v>
      </c>
    </row>
    <row r="275" spans="1:9" ht="15.75">
      <c r="A275" s="15"/>
      <c r="B275" s="37" t="s">
        <v>68</v>
      </c>
      <c r="C275" s="36">
        <v>4.5</v>
      </c>
      <c r="D275" s="10" t="s">
        <v>48</v>
      </c>
      <c r="E275" s="11" t="s">
        <v>35</v>
      </c>
      <c r="F275" s="12" t="s">
        <v>294</v>
      </c>
      <c r="G275" s="13">
        <v>3.79</v>
      </c>
      <c r="H275" s="12" t="s">
        <v>102</v>
      </c>
      <c r="I275" s="14" t="s">
        <v>5</v>
      </c>
    </row>
    <row r="276" spans="1:9" ht="15.75">
      <c r="A276" s="15"/>
      <c r="B276" s="39" t="s">
        <v>433</v>
      </c>
      <c r="C276" s="24">
        <v>3.32</v>
      </c>
      <c r="D276" s="10" t="s">
        <v>48</v>
      </c>
      <c r="E276" s="11" t="s">
        <v>5</v>
      </c>
      <c r="F276" s="12" t="s">
        <v>294</v>
      </c>
      <c r="G276" s="13">
        <v>3.79</v>
      </c>
      <c r="H276" s="12" t="s">
        <v>11</v>
      </c>
      <c r="I276" s="14" t="s">
        <v>5</v>
      </c>
    </row>
    <row r="277" spans="1:9" ht="15.75">
      <c r="A277" s="15"/>
      <c r="B277" s="21" t="s">
        <v>434</v>
      </c>
      <c r="C277" s="24">
        <v>3.65</v>
      </c>
      <c r="D277" s="10" t="s">
        <v>48</v>
      </c>
      <c r="E277" s="11" t="s">
        <v>5</v>
      </c>
      <c r="F277" s="12" t="s">
        <v>435</v>
      </c>
      <c r="G277" s="13">
        <v>3.79</v>
      </c>
      <c r="H277" s="12" t="s">
        <v>30</v>
      </c>
      <c r="I277" s="14" t="s">
        <v>5</v>
      </c>
    </row>
    <row r="278" spans="1:9" ht="15.75">
      <c r="A278" s="15"/>
      <c r="B278" s="21" t="s">
        <v>436</v>
      </c>
      <c r="C278" s="34">
        <v>3.53</v>
      </c>
      <c r="D278" s="10" t="s">
        <v>48</v>
      </c>
      <c r="E278" s="11" t="s">
        <v>5</v>
      </c>
      <c r="F278" s="12" t="s">
        <v>326</v>
      </c>
      <c r="G278" s="17">
        <v>3.78</v>
      </c>
      <c r="H278" s="12" t="s">
        <v>48</v>
      </c>
      <c r="I278" s="14" t="s">
        <v>5</v>
      </c>
    </row>
    <row r="279" spans="1:9" ht="15.75">
      <c r="A279" s="15"/>
      <c r="B279" s="35" t="s">
        <v>437</v>
      </c>
      <c r="C279" s="24">
        <v>3.39</v>
      </c>
      <c r="D279" s="10" t="s">
        <v>48</v>
      </c>
      <c r="E279" s="11" t="s">
        <v>5</v>
      </c>
      <c r="F279" s="12" t="s">
        <v>332</v>
      </c>
      <c r="G279" s="12">
        <v>3.78</v>
      </c>
      <c r="H279" s="12" t="s">
        <v>48</v>
      </c>
      <c r="I279" s="14" t="s">
        <v>5</v>
      </c>
    </row>
    <row r="280" spans="1:9" ht="15.75">
      <c r="A280" s="15"/>
      <c r="B280" s="35" t="s">
        <v>438</v>
      </c>
      <c r="C280" s="24">
        <v>3.58</v>
      </c>
      <c r="D280" s="10" t="s">
        <v>48</v>
      </c>
      <c r="E280" s="11" t="s">
        <v>5</v>
      </c>
      <c r="F280" s="12" t="s">
        <v>429</v>
      </c>
      <c r="G280" s="17">
        <v>3.78</v>
      </c>
      <c r="H280" s="12" t="s">
        <v>48</v>
      </c>
      <c r="I280" s="14" t="s">
        <v>5</v>
      </c>
    </row>
    <row r="281" spans="1:9" ht="15.75">
      <c r="A281" s="15"/>
      <c r="B281" s="35" t="s">
        <v>173</v>
      </c>
      <c r="C281" s="24">
        <v>4.1500000000000004</v>
      </c>
      <c r="D281" s="10" t="s">
        <v>48</v>
      </c>
      <c r="E281" s="11" t="s">
        <v>5</v>
      </c>
      <c r="F281" s="12" t="s">
        <v>439</v>
      </c>
      <c r="G281" s="12">
        <v>3.78</v>
      </c>
      <c r="H281" s="12" t="s">
        <v>48</v>
      </c>
      <c r="I281" s="14" t="s">
        <v>5</v>
      </c>
    </row>
    <row r="282" spans="1:9" ht="15.75">
      <c r="A282" s="15"/>
      <c r="B282" s="21" t="s">
        <v>183</v>
      </c>
      <c r="C282" s="34">
        <v>4.12</v>
      </c>
      <c r="D282" s="10" t="s">
        <v>48</v>
      </c>
      <c r="E282" s="11" t="s">
        <v>5</v>
      </c>
      <c r="F282" s="12" t="s">
        <v>326</v>
      </c>
      <c r="G282" s="12">
        <v>3.78</v>
      </c>
      <c r="H282" s="12" t="s">
        <v>71</v>
      </c>
      <c r="I282" s="14" t="s">
        <v>5</v>
      </c>
    </row>
    <row r="283" spans="1:9" ht="15.75">
      <c r="A283" s="15"/>
      <c r="B283" s="21" t="s">
        <v>439</v>
      </c>
      <c r="C283" s="24">
        <v>3.78</v>
      </c>
      <c r="D283" s="10" t="s">
        <v>48</v>
      </c>
      <c r="E283" s="11" t="s">
        <v>5</v>
      </c>
      <c r="F283" s="12" t="s">
        <v>332</v>
      </c>
      <c r="G283" s="17">
        <v>3.78</v>
      </c>
      <c r="H283" s="12" t="s">
        <v>71</v>
      </c>
      <c r="I283" s="14" t="s">
        <v>5</v>
      </c>
    </row>
    <row r="284" spans="1:9" ht="15.75">
      <c r="A284" s="15"/>
      <c r="B284" s="21" t="s">
        <v>335</v>
      </c>
      <c r="C284" s="34">
        <v>3.83</v>
      </c>
      <c r="D284" s="10" t="s">
        <v>48</v>
      </c>
      <c r="E284" s="11" t="s">
        <v>5</v>
      </c>
      <c r="F284" s="12" t="s">
        <v>440</v>
      </c>
      <c r="G284" s="12">
        <v>3.78</v>
      </c>
      <c r="H284" s="12" t="s">
        <v>71</v>
      </c>
      <c r="I284" s="14" t="s">
        <v>5</v>
      </c>
    </row>
    <row r="285" spans="1:9" ht="15.75">
      <c r="A285" s="15"/>
      <c r="B285" s="35" t="s">
        <v>441</v>
      </c>
      <c r="C285" s="24">
        <v>3.74</v>
      </c>
      <c r="D285" s="10" t="s">
        <v>48</v>
      </c>
      <c r="E285" s="11" t="s">
        <v>5</v>
      </c>
      <c r="F285" s="12" t="s">
        <v>439</v>
      </c>
      <c r="G285" s="12">
        <v>3.78</v>
      </c>
      <c r="H285" s="12" t="s">
        <v>71</v>
      </c>
      <c r="I285" s="14" t="s">
        <v>5</v>
      </c>
    </row>
    <row r="286" spans="1:9" ht="15.75">
      <c r="A286" s="15"/>
      <c r="B286" s="35" t="s">
        <v>442</v>
      </c>
      <c r="C286" s="24">
        <v>3.28</v>
      </c>
      <c r="D286" s="10" t="s">
        <v>48</v>
      </c>
      <c r="E286" s="11" t="s">
        <v>5</v>
      </c>
      <c r="F286" s="12" t="s">
        <v>440</v>
      </c>
      <c r="G286" s="17">
        <v>3.78</v>
      </c>
      <c r="H286" s="12" t="s">
        <v>58</v>
      </c>
      <c r="I286" s="14" t="s">
        <v>5</v>
      </c>
    </row>
    <row r="287" spans="1:9" ht="15.75">
      <c r="A287" s="15"/>
      <c r="B287" s="21" t="s">
        <v>443</v>
      </c>
      <c r="C287" s="24">
        <v>3.32</v>
      </c>
      <c r="D287" s="10" t="s">
        <v>48</v>
      </c>
      <c r="E287" s="11" t="s">
        <v>5</v>
      </c>
      <c r="F287" s="12" t="s">
        <v>146</v>
      </c>
      <c r="G287" s="17">
        <v>3.78</v>
      </c>
      <c r="H287" s="12" t="s">
        <v>38</v>
      </c>
      <c r="I287" s="14" t="s">
        <v>5</v>
      </c>
    </row>
    <row r="288" spans="1:9" ht="15.75">
      <c r="A288" s="15"/>
      <c r="B288" s="21" t="s">
        <v>444</v>
      </c>
      <c r="C288" s="24">
        <v>3.15</v>
      </c>
      <c r="D288" s="10" t="s">
        <v>48</v>
      </c>
      <c r="E288" s="11" t="s">
        <v>5</v>
      </c>
      <c r="F288" s="12" t="s">
        <v>326</v>
      </c>
      <c r="G288" s="17">
        <v>3.78</v>
      </c>
      <c r="H288" s="12" t="s">
        <v>38</v>
      </c>
      <c r="I288" s="14" t="s">
        <v>5</v>
      </c>
    </row>
    <row r="289" spans="1:9" ht="15.75">
      <c r="A289" s="15"/>
      <c r="B289" s="21" t="s">
        <v>445</v>
      </c>
      <c r="C289" s="24">
        <v>3.25</v>
      </c>
      <c r="D289" s="10" t="s">
        <v>71</v>
      </c>
      <c r="E289" s="11" t="s">
        <v>35</v>
      </c>
      <c r="F289" s="12" t="s">
        <v>440</v>
      </c>
      <c r="G289" s="13">
        <v>3.78</v>
      </c>
      <c r="H289" s="12" t="s">
        <v>11</v>
      </c>
      <c r="I289" s="14" t="s">
        <v>5</v>
      </c>
    </row>
    <row r="290" spans="1:9" ht="15.75">
      <c r="A290" s="15"/>
      <c r="B290" s="21" t="s">
        <v>446</v>
      </c>
      <c r="C290" s="34">
        <v>3.44</v>
      </c>
      <c r="D290" s="10" t="s">
        <v>71</v>
      </c>
      <c r="E290" s="11" t="s">
        <v>5</v>
      </c>
      <c r="F290" s="12" t="s">
        <v>447</v>
      </c>
      <c r="G290" s="13">
        <v>3.78</v>
      </c>
      <c r="H290" s="12" t="s">
        <v>11</v>
      </c>
      <c r="I290" s="14" t="s">
        <v>5</v>
      </c>
    </row>
    <row r="291" spans="1:9" ht="15.75">
      <c r="A291" s="15"/>
      <c r="B291" s="37" t="s">
        <v>249</v>
      </c>
      <c r="C291" s="38">
        <v>3.83</v>
      </c>
      <c r="D291" s="10" t="s">
        <v>71</v>
      </c>
      <c r="E291" s="11" t="s">
        <v>5</v>
      </c>
      <c r="F291" s="12" t="s">
        <v>448</v>
      </c>
      <c r="G291" s="13">
        <v>3.78</v>
      </c>
      <c r="H291" s="12" t="s">
        <v>30</v>
      </c>
      <c r="I291" s="14" t="s">
        <v>5</v>
      </c>
    </row>
    <row r="292" spans="1:9" ht="15.75">
      <c r="A292" s="15"/>
      <c r="B292" s="37" t="s">
        <v>449</v>
      </c>
      <c r="C292" s="38">
        <v>3.53</v>
      </c>
      <c r="D292" s="10" t="s">
        <v>71</v>
      </c>
      <c r="E292" s="11" t="s">
        <v>5</v>
      </c>
      <c r="F292" s="12" t="s">
        <v>450</v>
      </c>
      <c r="G292" s="13">
        <v>3.78</v>
      </c>
      <c r="H292" s="12" t="s">
        <v>30</v>
      </c>
      <c r="I292" s="14" t="s">
        <v>5</v>
      </c>
    </row>
    <row r="293" spans="1:9" ht="15.75">
      <c r="A293" s="15"/>
      <c r="B293" s="37" t="s">
        <v>259</v>
      </c>
      <c r="C293" s="38">
        <v>3.32</v>
      </c>
      <c r="D293" s="10" t="s">
        <v>71</v>
      </c>
      <c r="E293" s="11" t="s">
        <v>5</v>
      </c>
      <c r="F293" s="12" t="s">
        <v>451</v>
      </c>
      <c r="G293" s="13">
        <v>3.78</v>
      </c>
      <c r="H293" s="12" t="s">
        <v>30</v>
      </c>
      <c r="I293" s="14" t="s">
        <v>5</v>
      </c>
    </row>
    <row r="294" spans="1:9" ht="15.75">
      <c r="A294" s="15"/>
      <c r="B294" s="37" t="s">
        <v>452</v>
      </c>
      <c r="C294" s="38">
        <v>3.45</v>
      </c>
      <c r="D294" s="10" t="s">
        <v>71</v>
      </c>
      <c r="E294" s="11" t="s">
        <v>5</v>
      </c>
      <c r="F294" s="12" t="s">
        <v>453</v>
      </c>
      <c r="G294" s="13">
        <v>3.78</v>
      </c>
      <c r="H294" s="12" t="s">
        <v>11</v>
      </c>
      <c r="I294" s="14" t="s">
        <v>35</v>
      </c>
    </row>
    <row r="295" spans="1:9" ht="15.75">
      <c r="A295" s="15"/>
      <c r="B295" s="37" t="s">
        <v>454</v>
      </c>
      <c r="C295" s="38">
        <v>3.67</v>
      </c>
      <c r="D295" s="10" t="s">
        <v>71</v>
      </c>
      <c r="E295" s="11" t="s">
        <v>5</v>
      </c>
      <c r="F295" s="12" t="s">
        <v>455</v>
      </c>
      <c r="G295" s="13">
        <v>3.78</v>
      </c>
      <c r="H295" s="12" t="s">
        <v>102</v>
      </c>
      <c r="I295" s="14" t="s">
        <v>35</v>
      </c>
    </row>
    <row r="296" spans="1:9" ht="15.75">
      <c r="A296" s="15"/>
      <c r="B296" s="37" t="s">
        <v>456</v>
      </c>
      <c r="C296" s="38">
        <v>3.65</v>
      </c>
      <c r="D296" s="10" t="s">
        <v>71</v>
      </c>
      <c r="E296" s="11" t="s">
        <v>5</v>
      </c>
      <c r="F296" s="12" t="s">
        <v>349</v>
      </c>
      <c r="G296" s="12">
        <v>3.77</v>
      </c>
      <c r="H296" s="12" t="s">
        <v>48</v>
      </c>
      <c r="I296" s="14" t="s">
        <v>5</v>
      </c>
    </row>
    <row r="297" spans="1:9" ht="15.75">
      <c r="A297" s="15"/>
      <c r="B297" s="37" t="s">
        <v>253</v>
      </c>
      <c r="C297" s="38">
        <v>3.5</v>
      </c>
      <c r="D297" s="10" t="s">
        <v>71</v>
      </c>
      <c r="E297" s="11" t="s">
        <v>5</v>
      </c>
      <c r="F297" s="12" t="s">
        <v>440</v>
      </c>
      <c r="G297" s="12">
        <v>3.77</v>
      </c>
      <c r="H297" s="12" t="s">
        <v>71</v>
      </c>
      <c r="I297" s="14" t="s">
        <v>39</v>
      </c>
    </row>
    <row r="298" spans="1:9" ht="14.25" customHeight="1">
      <c r="A298" s="15"/>
      <c r="B298" s="37" t="s">
        <v>382</v>
      </c>
      <c r="C298" s="38">
        <v>3.84</v>
      </c>
      <c r="D298" s="10" t="s">
        <v>71</v>
      </c>
      <c r="E298" s="11" t="s">
        <v>5</v>
      </c>
      <c r="F298" s="12" t="s">
        <v>440</v>
      </c>
      <c r="G298" s="17">
        <v>3.77</v>
      </c>
      <c r="H298" s="12" t="s">
        <v>71</v>
      </c>
      <c r="I298" s="14" t="s">
        <v>5</v>
      </c>
    </row>
    <row r="299" spans="1:9" ht="15.75">
      <c r="A299" s="15"/>
      <c r="B299" s="37" t="s">
        <v>457</v>
      </c>
      <c r="C299" s="38">
        <v>3.44</v>
      </c>
      <c r="D299" s="10" t="s">
        <v>71</v>
      </c>
      <c r="E299" s="11" t="s">
        <v>5</v>
      </c>
      <c r="F299" s="12" t="s">
        <v>440</v>
      </c>
      <c r="G299" s="17">
        <v>3.77</v>
      </c>
      <c r="H299" s="12" t="s">
        <v>58</v>
      </c>
      <c r="I299" s="14" t="s">
        <v>5</v>
      </c>
    </row>
    <row r="300" spans="1:9" ht="15.75">
      <c r="A300" s="15"/>
      <c r="B300" s="37" t="s">
        <v>458</v>
      </c>
      <c r="C300" s="36">
        <v>3</v>
      </c>
      <c r="D300" s="10" t="s">
        <v>71</v>
      </c>
      <c r="E300" s="11" t="s">
        <v>5</v>
      </c>
      <c r="F300" s="12" t="s">
        <v>459</v>
      </c>
      <c r="G300" s="17">
        <v>3.77</v>
      </c>
      <c r="H300" s="12" t="s">
        <v>38</v>
      </c>
      <c r="I300" s="14" t="s">
        <v>5</v>
      </c>
    </row>
    <row r="301" spans="1:9" ht="15.75">
      <c r="A301" s="15"/>
      <c r="B301" s="37" t="s">
        <v>460</v>
      </c>
      <c r="C301" s="38">
        <v>3.67</v>
      </c>
      <c r="D301" s="10" t="s">
        <v>71</v>
      </c>
      <c r="E301" s="11" t="s">
        <v>39</v>
      </c>
      <c r="F301" s="12" t="s">
        <v>440</v>
      </c>
      <c r="G301" s="13">
        <v>3.77</v>
      </c>
      <c r="H301" s="12" t="s">
        <v>11</v>
      </c>
      <c r="I301" s="14" t="s">
        <v>5</v>
      </c>
    </row>
    <row r="302" spans="1:9" ht="15.75">
      <c r="A302" s="15"/>
      <c r="B302" s="35" t="s">
        <v>461</v>
      </c>
      <c r="C302" s="24">
        <v>3.16</v>
      </c>
      <c r="D302" s="10" t="s">
        <v>71</v>
      </c>
      <c r="E302" s="11" t="s">
        <v>5</v>
      </c>
      <c r="F302" s="12" t="s">
        <v>172</v>
      </c>
      <c r="G302" s="12">
        <v>3.76</v>
      </c>
      <c r="H302" s="12" t="s">
        <v>4</v>
      </c>
      <c r="I302" s="14" t="s">
        <v>35</v>
      </c>
    </row>
    <row r="303" spans="1:9" ht="15.75">
      <c r="A303" s="15"/>
      <c r="B303" s="37" t="s">
        <v>462</v>
      </c>
      <c r="C303" s="36">
        <v>3.05</v>
      </c>
      <c r="D303" s="10" t="s">
        <v>71</v>
      </c>
      <c r="E303" s="11" t="s">
        <v>5</v>
      </c>
      <c r="F303" s="12" t="s">
        <v>361</v>
      </c>
      <c r="G303" s="17">
        <v>3.76</v>
      </c>
      <c r="H303" s="12" t="s">
        <v>48</v>
      </c>
      <c r="I303" s="14" t="s">
        <v>5</v>
      </c>
    </row>
    <row r="304" spans="1:9" ht="15.75">
      <c r="A304" s="15"/>
      <c r="B304" s="37" t="s">
        <v>463</v>
      </c>
      <c r="C304" s="36">
        <v>3.27</v>
      </c>
      <c r="D304" s="10" t="s">
        <v>71</v>
      </c>
      <c r="E304" s="11" t="s">
        <v>35</v>
      </c>
      <c r="F304" s="12" t="s">
        <v>464</v>
      </c>
      <c r="G304" s="12">
        <v>3.76</v>
      </c>
      <c r="H304" s="12" t="s">
        <v>71</v>
      </c>
      <c r="I304" s="14" t="s">
        <v>5</v>
      </c>
    </row>
    <row r="305" spans="1:9" ht="17.25" customHeight="1">
      <c r="A305" s="15"/>
      <c r="B305" s="37" t="s">
        <v>465</v>
      </c>
      <c r="C305" s="38">
        <v>3.56</v>
      </c>
      <c r="D305" s="10" t="s">
        <v>71</v>
      </c>
      <c r="E305" s="11" t="s">
        <v>5</v>
      </c>
      <c r="F305" s="12" t="s">
        <v>466</v>
      </c>
      <c r="G305" s="12">
        <v>3.76</v>
      </c>
      <c r="H305" s="12" t="s">
        <v>71</v>
      </c>
      <c r="I305" s="14" t="s">
        <v>5</v>
      </c>
    </row>
    <row r="306" spans="1:9" ht="16.5" customHeight="1">
      <c r="A306" s="15"/>
      <c r="B306" s="37" t="s">
        <v>467</v>
      </c>
      <c r="C306" s="24">
        <v>3.4</v>
      </c>
      <c r="D306" s="10" t="s">
        <v>71</v>
      </c>
      <c r="E306" s="11" t="s">
        <v>5</v>
      </c>
      <c r="F306" s="12" t="s">
        <v>466</v>
      </c>
      <c r="G306" s="17">
        <v>3.76</v>
      </c>
      <c r="H306" s="12" t="s">
        <v>58</v>
      </c>
      <c r="I306" s="14" t="s">
        <v>5</v>
      </c>
    </row>
    <row r="307" spans="1:9" ht="15" customHeight="1">
      <c r="A307" s="15"/>
      <c r="B307" s="37" t="s">
        <v>70</v>
      </c>
      <c r="C307" s="38">
        <v>4.5</v>
      </c>
      <c r="D307" s="10" t="s">
        <v>71</v>
      </c>
      <c r="E307" s="11" t="s">
        <v>5</v>
      </c>
      <c r="F307" s="12" t="s">
        <v>468</v>
      </c>
      <c r="G307" s="17">
        <v>3.76</v>
      </c>
      <c r="H307" s="12" t="s">
        <v>38</v>
      </c>
      <c r="I307" s="14" t="s">
        <v>5</v>
      </c>
    </row>
    <row r="308" spans="1:9" ht="15.75" customHeight="1">
      <c r="A308" s="15"/>
      <c r="B308" s="37" t="s">
        <v>469</v>
      </c>
      <c r="C308" s="38">
        <v>3.21</v>
      </c>
      <c r="D308" s="10" t="s">
        <v>71</v>
      </c>
      <c r="E308" s="11" t="s">
        <v>5</v>
      </c>
      <c r="F308" s="12" t="s">
        <v>466</v>
      </c>
      <c r="G308" s="13">
        <v>3.76</v>
      </c>
      <c r="H308" s="12" t="s">
        <v>102</v>
      </c>
      <c r="I308" s="14" t="s">
        <v>5</v>
      </c>
    </row>
    <row r="309" spans="1:9" ht="17.25" customHeight="1">
      <c r="A309" s="15"/>
      <c r="B309" s="37" t="s">
        <v>325</v>
      </c>
      <c r="C309" s="36">
        <v>3.89</v>
      </c>
      <c r="D309" s="10" t="s">
        <v>71</v>
      </c>
      <c r="E309" s="11" t="s">
        <v>35</v>
      </c>
      <c r="F309" s="12" t="s">
        <v>470</v>
      </c>
      <c r="G309" s="13">
        <v>3.76</v>
      </c>
      <c r="H309" s="12" t="s">
        <v>71</v>
      </c>
      <c r="I309" s="14" t="s">
        <v>5</v>
      </c>
    </row>
    <row r="310" spans="1:9" ht="15" customHeight="1">
      <c r="A310" s="15"/>
      <c r="B310" s="37" t="s">
        <v>280</v>
      </c>
      <c r="C310" s="38">
        <v>3.16</v>
      </c>
      <c r="D310" s="10" t="s">
        <v>71</v>
      </c>
      <c r="E310" s="11" t="s">
        <v>5</v>
      </c>
      <c r="F310" s="12" t="s">
        <v>62</v>
      </c>
      <c r="G310" s="12">
        <v>3.75</v>
      </c>
      <c r="H310" s="12" t="s">
        <v>4</v>
      </c>
      <c r="I310" s="14" t="s">
        <v>5</v>
      </c>
    </row>
    <row r="311" spans="1:9" ht="15" customHeight="1">
      <c r="A311" s="15"/>
      <c r="B311" s="37" t="s">
        <v>221</v>
      </c>
      <c r="C311" s="38">
        <v>4.05</v>
      </c>
      <c r="D311" s="10" t="s">
        <v>71</v>
      </c>
      <c r="E311" s="11" t="s">
        <v>5</v>
      </c>
      <c r="F311" s="12" t="s">
        <v>471</v>
      </c>
      <c r="G311" s="12">
        <v>3.75</v>
      </c>
      <c r="H311" s="12" t="s">
        <v>71</v>
      </c>
      <c r="I311" s="14" t="s">
        <v>5</v>
      </c>
    </row>
    <row r="312" spans="1:9" ht="14.25" customHeight="1">
      <c r="B312" s="37" t="s">
        <v>472</v>
      </c>
      <c r="C312" s="38">
        <v>3.66</v>
      </c>
      <c r="D312" s="10" t="s">
        <v>71</v>
      </c>
      <c r="E312" s="11" t="s">
        <v>5</v>
      </c>
      <c r="F312" s="12" t="s">
        <v>473</v>
      </c>
      <c r="G312" s="17">
        <v>3.75</v>
      </c>
      <c r="H312" s="12" t="s">
        <v>38</v>
      </c>
      <c r="I312" s="14" t="s">
        <v>5</v>
      </c>
    </row>
    <row r="313" spans="1:9" ht="15.75">
      <c r="B313" s="37" t="s">
        <v>474</v>
      </c>
      <c r="C313" s="38">
        <v>3.38</v>
      </c>
      <c r="D313" s="10" t="s">
        <v>71</v>
      </c>
      <c r="E313" s="11" t="s">
        <v>5</v>
      </c>
      <c r="F313" s="12" t="s">
        <v>473</v>
      </c>
      <c r="G313" s="13">
        <v>3.75</v>
      </c>
      <c r="H313" s="12" t="s">
        <v>102</v>
      </c>
      <c r="I313" s="14" t="s">
        <v>5</v>
      </c>
    </row>
    <row r="314" spans="1:9" ht="15.75">
      <c r="B314" s="37" t="s">
        <v>346</v>
      </c>
      <c r="C314" s="38">
        <v>3.88</v>
      </c>
      <c r="D314" s="10" t="s">
        <v>71</v>
      </c>
      <c r="E314" s="11" t="s">
        <v>5</v>
      </c>
      <c r="F314" s="12" t="s">
        <v>156</v>
      </c>
      <c r="G314" s="17">
        <v>3.74</v>
      </c>
      <c r="H314" s="12" t="s">
        <v>4</v>
      </c>
      <c r="I314" s="14" t="s">
        <v>5</v>
      </c>
    </row>
    <row r="315" spans="1:9" ht="15.75">
      <c r="B315" s="37" t="s">
        <v>475</v>
      </c>
      <c r="C315" s="38">
        <v>3.16</v>
      </c>
      <c r="D315" s="10" t="s">
        <v>71</v>
      </c>
      <c r="E315" s="11" t="s">
        <v>5</v>
      </c>
      <c r="F315" s="12" t="s">
        <v>213</v>
      </c>
      <c r="G315" s="12">
        <v>3.74</v>
      </c>
      <c r="H315" s="12" t="s">
        <v>4</v>
      </c>
      <c r="I315" s="14" t="s">
        <v>5</v>
      </c>
    </row>
    <row r="316" spans="1:9" ht="15.75">
      <c r="B316" s="37" t="s">
        <v>476</v>
      </c>
      <c r="C316" s="38">
        <v>3.27</v>
      </c>
      <c r="D316" s="10" t="s">
        <v>71</v>
      </c>
      <c r="E316" s="11" t="s">
        <v>5</v>
      </c>
      <c r="F316" s="12" t="s">
        <v>399</v>
      </c>
      <c r="G316" s="17">
        <v>3.74</v>
      </c>
      <c r="H316" s="12" t="s">
        <v>48</v>
      </c>
      <c r="I316" s="14" t="s">
        <v>5</v>
      </c>
    </row>
    <row r="317" spans="1:9" ht="15.75">
      <c r="B317" s="37" t="s">
        <v>477</v>
      </c>
      <c r="C317" s="38">
        <v>3.72</v>
      </c>
      <c r="D317" s="10" t="s">
        <v>71</v>
      </c>
      <c r="E317" s="11" t="s">
        <v>5</v>
      </c>
      <c r="F317" s="12" t="s">
        <v>441</v>
      </c>
      <c r="G317" s="12">
        <v>3.74</v>
      </c>
      <c r="H317" s="12" t="s">
        <v>48</v>
      </c>
      <c r="I317" s="14" t="s">
        <v>5</v>
      </c>
    </row>
    <row r="318" spans="1:9" ht="15.75">
      <c r="B318" s="37" t="s">
        <v>478</v>
      </c>
      <c r="C318" s="38">
        <v>3.47</v>
      </c>
      <c r="D318" s="10" t="s">
        <v>71</v>
      </c>
      <c r="E318" s="11" t="s">
        <v>5</v>
      </c>
      <c r="F318" s="12" t="s">
        <v>479</v>
      </c>
      <c r="G318" s="17">
        <v>3.74</v>
      </c>
      <c r="H318" s="12" t="s">
        <v>38</v>
      </c>
      <c r="I318" s="14" t="s">
        <v>35</v>
      </c>
    </row>
    <row r="319" spans="1:9" ht="15.75">
      <c r="B319" s="37" t="s">
        <v>260</v>
      </c>
      <c r="C319" s="38">
        <v>4</v>
      </c>
      <c r="D319" s="10" t="s">
        <v>71</v>
      </c>
      <c r="E319" s="11" t="s">
        <v>5</v>
      </c>
      <c r="F319" s="12" t="s">
        <v>480</v>
      </c>
      <c r="G319" s="13">
        <v>3.74</v>
      </c>
      <c r="H319" s="12" t="s">
        <v>38</v>
      </c>
      <c r="I319" s="14" t="s">
        <v>5</v>
      </c>
    </row>
    <row r="320" spans="1:9" ht="15.75">
      <c r="B320" s="37" t="s">
        <v>481</v>
      </c>
      <c r="C320" s="38">
        <v>3.44</v>
      </c>
      <c r="D320" s="10" t="s">
        <v>71</v>
      </c>
      <c r="E320" s="11" t="s">
        <v>5</v>
      </c>
      <c r="F320" s="12" t="s">
        <v>302</v>
      </c>
      <c r="G320" s="12">
        <v>3.73</v>
      </c>
      <c r="H320" s="12" t="s">
        <v>48</v>
      </c>
      <c r="I320" s="14" t="s">
        <v>5</v>
      </c>
    </row>
    <row r="321" spans="2:9" ht="15.75">
      <c r="B321" s="37" t="s">
        <v>482</v>
      </c>
      <c r="C321" s="36">
        <v>3.4</v>
      </c>
      <c r="D321" s="10" t="s">
        <v>71</v>
      </c>
      <c r="E321" s="11" t="s">
        <v>39</v>
      </c>
      <c r="F321" s="12" t="s">
        <v>373</v>
      </c>
      <c r="G321" s="17">
        <v>3.73</v>
      </c>
      <c r="H321" s="12" t="s">
        <v>48</v>
      </c>
      <c r="I321" s="14" t="s">
        <v>5</v>
      </c>
    </row>
    <row r="322" spans="2:9" ht="15.75">
      <c r="B322" s="37" t="s">
        <v>131</v>
      </c>
      <c r="C322" s="38">
        <v>4.26</v>
      </c>
      <c r="D322" s="10" t="s">
        <v>71</v>
      </c>
      <c r="E322" s="11" t="s">
        <v>5</v>
      </c>
      <c r="F322" s="12" t="s">
        <v>483</v>
      </c>
      <c r="G322" s="17">
        <v>3.73</v>
      </c>
      <c r="H322" s="12" t="s">
        <v>58</v>
      </c>
      <c r="I322" s="14" t="s">
        <v>5</v>
      </c>
    </row>
    <row r="323" spans="2:9" ht="15.75">
      <c r="B323" s="37" t="s">
        <v>484</v>
      </c>
      <c r="C323" s="38">
        <v>3.52</v>
      </c>
      <c r="D323" s="10" t="s">
        <v>71</v>
      </c>
      <c r="E323" s="11" t="s">
        <v>5</v>
      </c>
      <c r="F323" s="12" t="s">
        <v>485</v>
      </c>
      <c r="G323" s="13">
        <v>3.73</v>
      </c>
      <c r="H323" s="12" t="s">
        <v>30</v>
      </c>
      <c r="I323" s="14" t="s">
        <v>5</v>
      </c>
    </row>
    <row r="324" spans="2:9" ht="15.75">
      <c r="B324" s="37" t="s">
        <v>123</v>
      </c>
      <c r="C324" s="38">
        <v>4.2699999999999996</v>
      </c>
      <c r="D324" s="10" t="s">
        <v>71</v>
      </c>
      <c r="E324" s="11" t="s">
        <v>5</v>
      </c>
      <c r="F324" s="12" t="s">
        <v>188</v>
      </c>
      <c r="G324" s="17">
        <v>3.72</v>
      </c>
      <c r="H324" s="12" t="s">
        <v>4</v>
      </c>
      <c r="I324" s="14" t="s">
        <v>5</v>
      </c>
    </row>
    <row r="325" spans="2:9" ht="15.75">
      <c r="B325" s="37" t="s">
        <v>486</v>
      </c>
      <c r="C325" s="38">
        <v>3.27</v>
      </c>
      <c r="D325" s="10" t="s">
        <v>71</v>
      </c>
      <c r="E325" s="11" t="s">
        <v>5</v>
      </c>
      <c r="F325" s="12" t="s">
        <v>316</v>
      </c>
      <c r="G325" s="12">
        <v>3.72</v>
      </c>
      <c r="H325" s="12" t="s">
        <v>48</v>
      </c>
      <c r="I325" s="14" t="s">
        <v>5</v>
      </c>
    </row>
    <row r="326" spans="2:9" ht="15.75">
      <c r="B326" s="37" t="s">
        <v>487</v>
      </c>
      <c r="C326" s="38">
        <v>3.3</v>
      </c>
      <c r="D326" s="10" t="s">
        <v>71</v>
      </c>
      <c r="E326" s="11" t="s">
        <v>5</v>
      </c>
      <c r="F326" s="12" t="s">
        <v>357</v>
      </c>
      <c r="G326" s="12">
        <v>3.72</v>
      </c>
      <c r="H326" s="12" t="s">
        <v>48</v>
      </c>
      <c r="I326" s="14" t="s">
        <v>5</v>
      </c>
    </row>
    <row r="327" spans="2:9" ht="15.75">
      <c r="B327" s="37" t="s">
        <v>298</v>
      </c>
      <c r="C327" s="38">
        <v>3.28</v>
      </c>
      <c r="D327" s="10" t="s">
        <v>71</v>
      </c>
      <c r="E327" s="11" t="s">
        <v>5</v>
      </c>
      <c r="F327" s="12" t="s">
        <v>293</v>
      </c>
      <c r="G327" s="12">
        <v>3.72</v>
      </c>
      <c r="H327" s="12" t="s">
        <v>48</v>
      </c>
      <c r="I327" s="14" t="s">
        <v>5</v>
      </c>
    </row>
    <row r="328" spans="2:9" ht="15.75">
      <c r="B328" s="37" t="s">
        <v>348</v>
      </c>
      <c r="C328" s="38">
        <v>3.88</v>
      </c>
      <c r="D328" s="10" t="s">
        <v>71</v>
      </c>
      <c r="E328" s="11" t="s">
        <v>5</v>
      </c>
      <c r="F328" s="12" t="s">
        <v>394</v>
      </c>
      <c r="G328" s="12">
        <v>3.72</v>
      </c>
      <c r="H328" s="12" t="s">
        <v>48</v>
      </c>
      <c r="I328" s="14" t="s">
        <v>5</v>
      </c>
    </row>
    <row r="329" spans="2:9" ht="15.75">
      <c r="B329" s="37" t="s">
        <v>440</v>
      </c>
      <c r="C329" s="38">
        <v>3.77</v>
      </c>
      <c r="D329" s="10" t="s">
        <v>71</v>
      </c>
      <c r="E329" s="11" t="s">
        <v>39</v>
      </c>
      <c r="F329" s="12" t="s">
        <v>477</v>
      </c>
      <c r="G329" s="12">
        <v>3.72</v>
      </c>
      <c r="H329" s="12" t="s">
        <v>71</v>
      </c>
      <c r="I329" s="14" t="s">
        <v>5</v>
      </c>
    </row>
    <row r="330" spans="2:9" ht="15.75">
      <c r="B330" s="37" t="s">
        <v>488</v>
      </c>
      <c r="C330" s="38">
        <v>3.16</v>
      </c>
      <c r="D330" s="10" t="s">
        <v>71</v>
      </c>
      <c r="E330" s="11" t="s">
        <v>39</v>
      </c>
      <c r="F330" s="12" t="s">
        <v>489</v>
      </c>
      <c r="G330" s="12">
        <v>3.72</v>
      </c>
      <c r="H330" s="12" t="s">
        <v>71</v>
      </c>
      <c r="I330" s="14" t="s">
        <v>5</v>
      </c>
    </row>
    <row r="331" spans="2:9" ht="15.75">
      <c r="B331" s="37" t="s">
        <v>490</v>
      </c>
      <c r="C331" s="38">
        <v>3.2</v>
      </c>
      <c r="D331" s="10" t="s">
        <v>71</v>
      </c>
      <c r="E331" s="11" t="s">
        <v>5</v>
      </c>
      <c r="F331" s="12" t="s">
        <v>491</v>
      </c>
      <c r="G331" s="12">
        <v>3.72</v>
      </c>
      <c r="H331" s="12" t="s">
        <v>71</v>
      </c>
      <c r="I331" s="14" t="s">
        <v>39</v>
      </c>
    </row>
    <row r="332" spans="2:9" ht="15.75">
      <c r="B332" s="37" t="s">
        <v>492</v>
      </c>
      <c r="C332" s="38">
        <v>3.5</v>
      </c>
      <c r="D332" s="10" t="s">
        <v>71</v>
      </c>
      <c r="E332" s="11" t="s">
        <v>5</v>
      </c>
      <c r="F332" s="12" t="s">
        <v>493</v>
      </c>
      <c r="G332" s="12">
        <v>3.72</v>
      </c>
      <c r="H332" s="12" t="s">
        <v>71</v>
      </c>
      <c r="I332" s="14" t="s">
        <v>5</v>
      </c>
    </row>
    <row r="333" spans="2:9" ht="15.75">
      <c r="B333" s="37" t="s">
        <v>494</v>
      </c>
      <c r="C333" s="36">
        <v>3.26</v>
      </c>
      <c r="D333" s="10" t="s">
        <v>71</v>
      </c>
      <c r="E333" s="11" t="s">
        <v>39</v>
      </c>
      <c r="F333" s="12" t="s">
        <v>493</v>
      </c>
      <c r="G333" s="12">
        <v>3.72</v>
      </c>
      <c r="H333" s="12" t="s">
        <v>58</v>
      </c>
      <c r="I333" s="14" t="s">
        <v>5</v>
      </c>
    </row>
    <row r="334" spans="2:9" ht="15.75">
      <c r="B334" s="37" t="s">
        <v>440</v>
      </c>
      <c r="C334" s="36">
        <v>3.77</v>
      </c>
      <c r="D334" s="10" t="s">
        <v>71</v>
      </c>
      <c r="E334" s="11" t="s">
        <v>5</v>
      </c>
      <c r="F334" s="12" t="s">
        <v>477</v>
      </c>
      <c r="G334" s="17">
        <v>3.72</v>
      </c>
      <c r="H334" s="12" t="s">
        <v>58</v>
      </c>
      <c r="I334" s="14" t="s">
        <v>5</v>
      </c>
    </row>
    <row r="335" spans="2:9" ht="15.75">
      <c r="B335" s="37" t="s">
        <v>495</v>
      </c>
      <c r="C335" s="36">
        <v>3.21</v>
      </c>
      <c r="D335" s="10" t="s">
        <v>71</v>
      </c>
      <c r="E335" s="11" t="s">
        <v>35</v>
      </c>
      <c r="F335" s="12" t="s">
        <v>489</v>
      </c>
      <c r="G335" s="17">
        <v>3.72</v>
      </c>
      <c r="H335" s="12" t="s">
        <v>38</v>
      </c>
      <c r="I335" s="14" t="s">
        <v>5</v>
      </c>
    </row>
    <row r="336" spans="2:9" ht="15.75">
      <c r="B336" s="37" t="s">
        <v>298</v>
      </c>
      <c r="C336" s="38">
        <v>3.28</v>
      </c>
      <c r="D336" s="10" t="s">
        <v>71</v>
      </c>
      <c r="E336" s="11" t="s">
        <v>5</v>
      </c>
      <c r="F336" s="12" t="s">
        <v>491</v>
      </c>
      <c r="G336" s="13">
        <v>3.72</v>
      </c>
      <c r="H336" s="12" t="s">
        <v>11</v>
      </c>
      <c r="I336" s="14" t="s">
        <v>5</v>
      </c>
    </row>
    <row r="337" spans="2:9" ht="15.75">
      <c r="B337" s="37" t="s">
        <v>496</v>
      </c>
      <c r="C337" s="36">
        <v>3.28</v>
      </c>
      <c r="D337" s="10" t="s">
        <v>71</v>
      </c>
      <c r="E337" s="11" t="s">
        <v>5</v>
      </c>
      <c r="F337" s="12" t="s">
        <v>493</v>
      </c>
      <c r="G337" s="13">
        <v>3.72</v>
      </c>
      <c r="H337" s="12" t="s">
        <v>11</v>
      </c>
      <c r="I337" s="14" t="s">
        <v>5</v>
      </c>
    </row>
    <row r="338" spans="2:9" ht="15.75">
      <c r="B338" s="37" t="s">
        <v>497</v>
      </c>
      <c r="C338" s="38">
        <v>3.26</v>
      </c>
      <c r="D338" s="10" t="s">
        <v>71</v>
      </c>
      <c r="E338" s="11" t="s">
        <v>5</v>
      </c>
      <c r="F338" s="12" t="s">
        <v>498</v>
      </c>
      <c r="G338" s="13">
        <v>3.72</v>
      </c>
      <c r="H338" s="12" t="s">
        <v>11</v>
      </c>
      <c r="I338" s="14" t="s">
        <v>5</v>
      </c>
    </row>
    <row r="339" spans="2:9" ht="15.75">
      <c r="B339" s="37" t="s">
        <v>165</v>
      </c>
      <c r="C339" s="36">
        <v>3.42</v>
      </c>
      <c r="D339" s="10" t="s">
        <v>71</v>
      </c>
      <c r="E339" s="11" t="s">
        <v>5</v>
      </c>
      <c r="F339" s="12" t="s">
        <v>499</v>
      </c>
      <c r="G339" s="13">
        <v>3.72</v>
      </c>
      <c r="H339" s="12" t="s">
        <v>30</v>
      </c>
      <c r="I339" s="14" t="s">
        <v>5</v>
      </c>
    </row>
    <row r="340" spans="2:9" ht="15.75">
      <c r="B340" s="37" t="s">
        <v>500</v>
      </c>
      <c r="C340" s="38">
        <v>3.16</v>
      </c>
      <c r="D340" s="10" t="s">
        <v>71</v>
      </c>
      <c r="E340" s="11" t="s">
        <v>5</v>
      </c>
      <c r="F340" s="12" t="s">
        <v>292</v>
      </c>
      <c r="G340" s="17">
        <v>3.7</v>
      </c>
      <c r="H340" s="12" t="s">
        <v>48</v>
      </c>
      <c r="I340" s="14" t="s">
        <v>5</v>
      </c>
    </row>
    <row r="341" spans="2:9" ht="15.75">
      <c r="B341" s="37" t="s">
        <v>314</v>
      </c>
      <c r="C341" s="38">
        <v>3.29</v>
      </c>
      <c r="D341" s="10" t="s">
        <v>71</v>
      </c>
      <c r="E341" s="11" t="s">
        <v>5</v>
      </c>
      <c r="F341" s="12" t="s">
        <v>368</v>
      </c>
      <c r="G341" s="17">
        <v>3.7</v>
      </c>
      <c r="H341" s="12" t="s">
        <v>48</v>
      </c>
      <c r="I341" s="14" t="s">
        <v>39</v>
      </c>
    </row>
    <row r="342" spans="2:9" ht="15.75">
      <c r="B342" s="37" t="s">
        <v>501</v>
      </c>
      <c r="C342" s="38">
        <v>3.26</v>
      </c>
      <c r="D342" s="10" t="s">
        <v>71</v>
      </c>
      <c r="E342" s="11" t="s">
        <v>5</v>
      </c>
      <c r="F342" s="12" t="s">
        <v>502</v>
      </c>
      <c r="G342" s="17">
        <v>3.7</v>
      </c>
      <c r="H342" s="12" t="s">
        <v>71</v>
      </c>
      <c r="I342" s="14" t="s">
        <v>5</v>
      </c>
    </row>
    <row r="343" spans="2:9" ht="15.75">
      <c r="B343" s="37" t="s">
        <v>501</v>
      </c>
      <c r="C343" s="38">
        <v>3.26</v>
      </c>
      <c r="D343" s="10" t="s">
        <v>71</v>
      </c>
      <c r="E343" s="11" t="s">
        <v>5</v>
      </c>
      <c r="F343" s="12" t="s">
        <v>503</v>
      </c>
      <c r="G343" s="13">
        <v>3.7</v>
      </c>
      <c r="H343" s="12" t="s">
        <v>4</v>
      </c>
      <c r="I343" s="14" t="s">
        <v>5</v>
      </c>
    </row>
    <row r="344" spans="2:9" ht="15.75">
      <c r="B344" s="37" t="s">
        <v>384</v>
      </c>
      <c r="C344" s="38">
        <v>3.84</v>
      </c>
      <c r="D344" s="10" t="s">
        <v>71</v>
      </c>
      <c r="E344" s="11" t="s">
        <v>5</v>
      </c>
      <c r="F344" s="12" t="s">
        <v>504</v>
      </c>
      <c r="G344" s="13">
        <v>3.7</v>
      </c>
      <c r="H344" s="12" t="s">
        <v>71</v>
      </c>
      <c r="I344" s="14" t="s">
        <v>5</v>
      </c>
    </row>
    <row r="345" spans="2:9" ht="15.75">
      <c r="B345" s="37" t="s">
        <v>296</v>
      </c>
      <c r="C345" s="38">
        <v>3.94</v>
      </c>
      <c r="D345" s="10" t="s">
        <v>71</v>
      </c>
      <c r="E345" s="11" t="s">
        <v>5</v>
      </c>
      <c r="F345" s="12" t="s">
        <v>504</v>
      </c>
      <c r="G345" s="13">
        <v>3.7</v>
      </c>
      <c r="H345" s="12" t="s">
        <v>102</v>
      </c>
      <c r="I345" s="14" t="s">
        <v>5</v>
      </c>
    </row>
    <row r="346" spans="2:9" ht="15.75">
      <c r="B346" s="37" t="s">
        <v>505</v>
      </c>
      <c r="C346" s="38">
        <v>3.38</v>
      </c>
      <c r="D346" s="10" t="s">
        <v>71</v>
      </c>
      <c r="E346" s="11" t="s">
        <v>5</v>
      </c>
      <c r="F346" s="12" t="s">
        <v>503</v>
      </c>
      <c r="G346" s="13">
        <v>3.7</v>
      </c>
      <c r="H346" s="12" t="s">
        <v>11</v>
      </c>
      <c r="I346" s="14" t="s">
        <v>5</v>
      </c>
    </row>
    <row r="347" spans="2:9" ht="15.75">
      <c r="B347" s="37" t="s">
        <v>223</v>
      </c>
      <c r="C347" s="36">
        <v>4.05</v>
      </c>
      <c r="D347" s="10" t="s">
        <v>71</v>
      </c>
      <c r="E347" s="11" t="s">
        <v>5</v>
      </c>
      <c r="F347" s="12" t="s">
        <v>506</v>
      </c>
      <c r="G347" s="12">
        <v>3.7</v>
      </c>
      <c r="H347" s="12" t="s">
        <v>30</v>
      </c>
      <c r="I347" s="14" t="s">
        <v>35</v>
      </c>
    </row>
    <row r="348" spans="2:9" ht="15.75">
      <c r="B348" s="37" t="s">
        <v>507</v>
      </c>
      <c r="C348" s="38">
        <v>3.29</v>
      </c>
      <c r="D348" s="10" t="s">
        <v>71</v>
      </c>
      <c r="E348" s="11" t="s">
        <v>5</v>
      </c>
      <c r="F348" s="12" t="s">
        <v>186</v>
      </c>
      <c r="G348" s="12">
        <v>3.68</v>
      </c>
      <c r="H348" s="12" t="s">
        <v>4</v>
      </c>
      <c r="I348" s="14" t="s">
        <v>5</v>
      </c>
    </row>
    <row r="349" spans="2:9" ht="15.75">
      <c r="B349" s="37" t="s">
        <v>152</v>
      </c>
      <c r="C349" s="38">
        <v>4.2</v>
      </c>
      <c r="D349" s="10" t="s">
        <v>71</v>
      </c>
      <c r="E349" s="11" t="s">
        <v>5</v>
      </c>
      <c r="F349" s="12" t="s">
        <v>246</v>
      </c>
      <c r="G349" s="12">
        <v>3.68</v>
      </c>
      <c r="H349" s="12" t="s">
        <v>4</v>
      </c>
      <c r="I349" s="14" t="s">
        <v>5</v>
      </c>
    </row>
    <row r="350" spans="2:9" ht="15.75">
      <c r="B350" s="37" t="s">
        <v>152</v>
      </c>
      <c r="C350" s="38">
        <v>4.05</v>
      </c>
      <c r="D350" s="10" t="s">
        <v>71</v>
      </c>
      <c r="E350" s="11" t="s">
        <v>5</v>
      </c>
      <c r="F350" s="12" t="s">
        <v>508</v>
      </c>
      <c r="G350" s="12">
        <v>3.68</v>
      </c>
      <c r="H350" s="12" t="s">
        <v>71</v>
      </c>
      <c r="I350" s="14" t="s">
        <v>5</v>
      </c>
    </row>
    <row r="351" spans="2:9" ht="15.75">
      <c r="B351" s="37" t="s">
        <v>326</v>
      </c>
      <c r="C351" s="38">
        <v>3.78</v>
      </c>
      <c r="D351" s="10" t="s">
        <v>71</v>
      </c>
      <c r="E351" s="11" t="s">
        <v>5</v>
      </c>
      <c r="F351" s="12" t="s">
        <v>509</v>
      </c>
      <c r="G351" s="17">
        <v>3.68</v>
      </c>
      <c r="H351" s="12" t="s">
        <v>38</v>
      </c>
      <c r="I351" s="14" t="s">
        <v>35</v>
      </c>
    </row>
    <row r="352" spans="2:9" ht="15.75">
      <c r="B352" s="37" t="s">
        <v>279</v>
      </c>
      <c r="C352" s="38">
        <v>3.95</v>
      </c>
      <c r="D352" s="10" t="s">
        <v>71</v>
      </c>
      <c r="E352" s="11" t="s">
        <v>5</v>
      </c>
      <c r="F352" s="12" t="s">
        <v>510</v>
      </c>
      <c r="G352" s="13">
        <v>3.68</v>
      </c>
      <c r="H352" s="12" t="s">
        <v>30</v>
      </c>
      <c r="I352" s="14" t="s">
        <v>5</v>
      </c>
    </row>
    <row r="353" spans="2:9" ht="15.75">
      <c r="B353" s="37" t="s">
        <v>511</v>
      </c>
      <c r="C353" s="36">
        <v>3.36</v>
      </c>
      <c r="D353" s="10" t="s">
        <v>71</v>
      </c>
      <c r="E353" s="11" t="s">
        <v>5</v>
      </c>
      <c r="F353" s="12" t="s">
        <v>246</v>
      </c>
      <c r="G353" s="13">
        <v>3.68</v>
      </c>
      <c r="H353" s="12" t="s">
        <v>4</v>
      </c>
      <c r="I353" s="14" t="s">
        <v>5</v>
      </c>
    </row>
    <row r="354" spans="2:9" ht="15.75">
      <c r="B354" s="37" t="s">
        <v>330</v>
      </c>
      <c r="C354" s="38">
        <v>3.3</v>
      </c>
      <c r="D354" s="10" t="s">
        <v>71</v>
      </c>
      <c r="E354" s="11" t="s">
        <v>5</v>
      </c>
      <c r="F354" s="12" t="s">
        <v>246</v>
      </c>
      <c r="G354" s="13">
        <v>3.68</v>
      </c>
      <c r="H354" s="12" t="s">
        <v>48</v>
      </c>
      <c r="I354" s="14" t="s">
        <v>5</v>
      </c>
    </row>
    <row r="355" spans="2:9" ht="15.75">
      <c r="B355" s="37" t="s">
        <v>512</v>
      </c>
      <c r="C355" s="38">
        <v>3.15</v>
      </c>
      <c r="D355" s="10" t="s">
        <v>71</v>
      </c>
      <c r="E355" s="11" t="s">
        <v>5</v>
      </c>
      <c r="F355" s="12" t="s">
        <v>510</v>
      </c>
      <c r="G355" s="13">
        <v>3.68</v>
      </c>
      <c r="H355" s="12" t="s">
        <v>30</v>
      </c>
      <c r="I355" s="14" t="s">
        <v>5</v>
      </c>
    </row>
    <row r="356" spans="2:9" ht="15.75">
      <c r="B356" s="37" t="s">
        <v>332</v>
      </c>
      <c r="C356" s="36">
        <v>3.78</v>
      </c>
      <c r="D356" s="10" t="s">
        <v>71</v>
      </c>
      <c r="E356" s="11" t="s">
        <v>5</v>
      </c>
      <c r="F356" s="12" t="s">
        <v>513</v>
      </c>
      <c r="G356" s="13">
        <v>3.68</v>
      </c>
      <c r="H356" s="12" t="s">
        <v>71</v>
      </c>
      <c r="I356" s="14" t="s">
        <v>5</v>
      </c>
    </row>
    <row r="357" spans="2:9" ht="15.75">
      <c r="B357" s="37" t="s">
        <v>514</v>
      </c>
      <c r="C357" s="38">
        <v>3.23</v>
      </c>
      <c r="D357" s="10" t="s">
        <v>71</v>
      </c>
      <c r="E357" s="11" t="s">
        <v>5</v>
      </c>
      <c r="F357" s="12" t="s">
        <v>515</v>
      </c>
      <c r="G357" s="13">
        <v>3.68</v>
      </c>
      <c r="H357" s="12" t="s">
        <v>102</v>
      </c>
      <c r="I357" s="14" t="s">
        <v>35</v>
      </c>
    </row>
    <row r="358" spans="2:9" ht="15.75">
      <c r="B358" s="37" t="s">
        <v>386</v>
      </c>
      <c r="C358" s="38">
        <v>3.84</v>
      </c>
      <c r="D358" s="10" t="s">
        <v>71</v>
      </c>
      <c r="E358" s="11" t="s">
        <v>39</v>
      </c>
      <c r="F358" s="12" t="s">
        <v>67</v>
      </c>
      <c r="G358" s="17">
        <v>3.67</v>
      </c>
      <c r="H358" s="12" t="s">
        <v>4</v>
      </c>
      <c r="I358" s="14" t="s">
        <v>5</v>
      </c>
    </row>
    <row r="359" spans="2:9" ht="15.75">
      <c r="B359" s="37" t="s">
        <v>516</v>
      </c>
      <c r="C359" s="38">
        <v>3.1</v>
      </c>
      <c r="D359" s="10" t="s">
        <v>71</v>
      </c>
      <c r="E359" s="11" t="s">
        <v>5</v>
      </c>
      <c r="F359" s="12" t="s">
        <v>454</v>
      </c>
      <c r="G359" s="12">
        <v>3.67</v>
      </c>
      <c r="H359" s="12" t="s">
        <v>71</v>
      </c>
      <c r="I359" s="14" t="s">
        <v>5</v>
      </c>
    </row>
    <row r="360" spans="2:9" ht="15.75">
      <c r="B360" s="40" t="s">
        <v>517</v>
      </c>
      <c r="C360" s="38">
        <v>3.26</v>
      </c>
      <c r="D360" s="10" t="s">
        <v>71</v>
      </c>
      <c r="E360" s="11" t="s">
        <v>5</v>
      </c>
      <c r="F360" s="12" t="s">
        <v>460</v>
      </c>
      <c r="G360" s="12">
        <v>3.67</v>
      </c>
      <c r="H360" s="12" t="s">
        <v>71</v>
      </c>
      <c r="I360" s="14" t="s">
        <v>39</v>
      </c>
    </row>
    <row r="361" spans="2:9" ht="15.75">
      <c r="B361" s="37" t="s">
        <v>518</v>
      </c>
      <c r="C361" s="36">
        <v>3.52</v>
      </c>
      <c r="D361" s="10" t="s">
        <v>71</v>
      </c>
      <c r="E361" s="11" t="s">
        <v>5</v>
      </c>
      <c r="F361" s="12" t="s">
        <v>519</v>
      </c>
      <c r="G361" s="17">
        <v>3.67</v>
      </c>
      <c r="H361" s="12" t="s">
        <v>38</v>
      </c>
      <c r="I361" s="14" t="s">
        <v>5</v>
      </c>
    </row>
    <row r="362" spans="2:9" ht="15.75">
      <c r="B362" s="40" t="s">
        <v>489</v>
      </c>
      <c r="C362" s="38">
        <v>3.72</v>
      </c>
      <c r="D362" s="10" t="s">
        <v>71</v>
      </c>
      <c r="E362" s="11" t="s">
        <v>5</v>
      </c>
      <c r="F362" s="12" t="s">
        <v>520</v>
      </c>
      <c r="G362" s="13">
        <v>3.67</v>
      </c>
      <c r="H362" s="12" t="s">
        <v>4</v>
      </c>
      <c r="I362" s="14" t="s">
        <v>5</v>
      </c>
    </row>
    <row r="363" spans="2:9" ht="15.75">
      <c r="B363" s="37" t="s">
        <v>521</v>
      </c>
      <c r="C363" s="38">
        <v>3.32</v>
      </c>
      <c r="D363" s="10" t="s">
        <v>71</v>
      </c>
      <c r="E363" s="11" t="s">
        <v>5</v>
      </c>
      <c r="F363" s="12" t="s">
        <v>522</v>
      </c>
      <c r="G363" s="13">
        <v>3.67</v>
      </c>
      <c r="H363" s="12" t="s">
        <v>71</v>
      </c>
      <c r="I363" s="14" t="s">
        <v>35</v>
      </c>
    </row>
    <row r="364" spans="2:9" ht="15.75">
      <c r="B364" s="37" t="s">
        <v>125</v>
      </c>
      <c r="C364" s="38">
        <v>4.2699999999999996</v>
      </c>
      <c r="D364" s="10" t="s">
        <v>71</v>
      </c>
      <c r="E364" s="11" t="s">
        <v>5</v>
      </c>
      <c r="F364" s="12" t="s">
        <v>472</v>
      </c>
      <c r="G364" s="12">
        <v>3.66</v>
      </c>
      <c r="H364" s="12" t="s">
        <v>71</v>
      </c>
      <c r="I364" s="14" t="s">
        <v>5</v>
      </c>
    </row>
    <row r="365" spans="2:9" ht="15.75">
      <c r="B365" s="37" t="s">
        <v>523</v>
      </c>
      <c r="C365" s="36">
        <v>3.53</v>
      </c>
      <c r="D365" s="10" t="s">
        <v>71</v>
      </c>
      <c r="E365" s="11" t="s">
        <v>5</v>
      </c>
      <c r="F365" s="12" t="s">
        <v>524</v>
      </c>
      <c r="G365" s="17">
        <v>3.66</v>
      </c>
      <c r="H365" s="12" t="s">
        <v>58</v>
      </c>
      <c r="I365" s="14" t="s">
        <v>35</v>
      </c>
    </row>
    <row r="366" spans="2:9" ht="15.75">
      <c r="B366" s="40" t="s">
        <v>525</v>
      </c>
      <c r="C366" s="38">
        <v>3.31</v>
      </c>
      <c r="D366" s="10" t="s">
        <v>71</v>
      </c>
      <c r="E366" s="11" t="s">
        <v>35</v>
      </c>
      <c r="F366" s="12" t="s">
        <v>526</v>
      </c>
      <c r="G366" s="17">
        <v>3.66</v>
      </c>
      <c r="H366" s="12" t="s">
        <v>58</v>
      </c>
      <c r="I366" s="14" t="s">
        <v>35</v>
      </c>
    </row>
    <row r="367" spans="2:9" ht="15.75">
      <c r="B367" s="40" t="s">
        <v>527</v>
      </c>
      <c r="C367" s="38">
        <v>3.21</v>
      </c>
      <c r="D367" s="10" t="s">
        <v>71</v>
      </c>
      <c r="E367" s="11" t="s">
        <v>5</v>
      </c>
      <c r="F367" s="12" t="s">
        <v>528</v>
      </c>
      <c r="G367" s="17">
        <v>3.66</v>
      </c>
      <c r="H367" s="12" t="s">
        <v>38</v>
      </c>
      <c r="I367" s="14" t="s">
        <v>5</v>
      </c>
    </row>
    <row r="368" spans="2:9" ht="15.75">
      <c r="B368" s="40" t="s">
        <v>529</v>
      </c>
      <c r="C368" s="38">
        <v>3.63</v>
      </c>
      <c r="D368" s="10" t="s">
        <v>71</v>
      </c>
      <c r="E368" s="11" t="s">
        <v>35</v>
      </c>
      <c r="F368" s="12" t="s">
        <v>472</v>
      </c>
      <c r="G368" s="13">
        <v>3.66</v>
      </c>
      <c r="H368" s="12" t="s">
        <v>102</v>
      </c>
      <c r="I368" s="14" t="s">
        <v>5</v>
      </c>
    </row>
    <row r="369" spans="2:9" ht="15.75">
      <c r="B369" s="37" t="s">
        <v>195</v>
      </c>
      <c r="C369" s="38">
        <v>4.1100000000000003</v>
      </c>
      <c r="D369" s="10" t="s">
        <v>71</v>
      </c>
      <c r="E369" s="11" t="s">
        <v>5</v>
      </c>
      <c r="F369" s="12" t="s">
        <v>524</v>
      </c>
      <c r="G369" s="13">
        <v>3.66</v>
      </c>
      <c r="H369" s="12" t="s">
        <v>102</v>
      </c>
      <c r="I369" s="14" t="s">
        <v>5</v>
      </c>
    </row>
    <row r="370" spans="2:9" ht="15.75">
      <c r="B370" s="40" t="s">
        <v>530</v>
      </c>
      <c r="C370" s="36">
        <v>3.36</v>
      </c>
      <c r="D370" s="10" t="s">
        <v>71</v>
      </c>
      <c r="E370" s="11" t="s">
        <v>39</v>
      </c>
      <c r="F370" s="12" t="s">
        <v>472</v>
      </c>
      <c r="G370" s="13">
        <v>3.66</v>
      </c>
      <c r="H370" s="12" t="s">
        <v>11</v>
      </c>
      <c r="I370" s="14" t="s">
        <v>35</v>
      </c>
    </row>
    <row r="371" spans="2:9" ht="15.75">
      <c r="B371" s="37" t="s">
        <v>464</v>
      </c>
      <c r="C371" s="38">
        <v>3.76</v>
      </c>
      <c r="D371" s="10" t="s">
        <v>71</v>
      </c>
      <c r="E371" s="11" t="s">
        <v>5</v>
      </c>
      <c r="F371" s="12" t="s">
        <v>72</v>
      </c>
      <c r="G371" s="17">
        <v>3.65</v>
      </c>
      <c r="H371" s="12" t="s">
        <v>4</v>
      </c>
      <c r="I371" s="14" t="s">
        <v>5</v>
      </c>
    </row>
    <row r="372" spans="2:9" ht="15.75">
      <c r="B372" s="37" t="s">
        <v>531</v>
      </c>
      <c r="C372" s="38">
        <v>3.63</v>
      </c>
      <c r="D372" s="10" t="s">
        <v>71</v>
      </c>
      <c r="E372" s="11" t="s">
        <v>5</v>
      </c>
      <c r="F372" s="12" t="s">
        <v>72</v>
      </c>
      <c r="G372" s="12">
        <v>3.65</v>
      </c>
      <c r="H372" s="12" t="s">
        <v>4</v>
      </c>
      <c r="I372" s="14" t="s">
        <v>5</v>
      </c>
    </row>
    <row r="373" spans="2:9" ht="15.75">
      <c r="B373" s="37" t="s">
        <v>532</v>
      </c>
      <c r="C373" s="36">
        <v>3.57</v>
      </c>
      <c r="D373" s="10" t="s">
        <v>71</v>
      </c>
      <c r="E373" s="11" t="s">
        <v>5</v>
      </c>
      <c r="F373" s="12" t="s">
        <v>151</v>
      </c>
      <c r="G373" s="12">
        <v>3.65</v>
      </c>
      <c r="H373" s="12" t="s">
        <v>4</v>
      </c>
      <c r="I373" s="14" t="s">
        <v>5</v>
      </c>
    </row>
    <row r="374" spans="2:9" ht="15.75">
      <c r="B374" s="40" t="s">
        <v>365</v>
      </c>
      <c r="C374" s="38">
        <v>3.16</v>
      </c>
      <c r="D374" s="10" t="s">
        <v>71</v>
      </c>
      <c r="E374" s="11" t="s">
        <v>5</v>
      </c>
      <c r="F374" s="12" t="s">
        <v>209</v>
      </c>
      <c r="G374" s="12">
        <v>3.65</v>
      </c>
      <c r="H374" s="12" t="s">
        <v>4</v>
      </c>
      <c r="I374" s="14" t="s">
        <v>5</v>
      </c>
    </row>
    <row r="375" spans="2:9" ht="15.75">
      <c r="B375" s="37" t="s">
        <v>533</v>
      </c>
      <c r="C375" s="38">
        <v>3.29</v>
      </c>
      <c r="D375" s="10" t="s">
        <v>71</v>
      </c>
      <c r="E375" s="11" t="s">
        <v>5</v>
      </c>
      <c r="F375" s="12" t="s">
        <v>226</v>
      </c>
      <c r="G375" s="12">
        <v>3.65</v>
      </c>
      <c r="H375" s="12" t="s">
        <v>4</v>
      </c>
      <c r="I375" s="14" t="s">
        <v>5</v>
      </c>
    </row>
    <row r="376" spans="2:9" ht="15.75">
      <c r="B376" s="37" t="s">
        <v>534</v>
      </c>
      <c r="C376" s="38">
        <v>3.57</v>
      </c>
      <c r="D376" s="10" t="s">
        <v>71</v>
      </c>
      <c r="E376" s="11" t="s">
        <v>5</v>
      </c>
      <c r="F376" s="12" t="s">
        <v>434</v>
      </c>
      <c r="G376" s="12">
        <v>3.65</v>
      </c>
      <c r="H376" s="12" t="s">
        <v>48</v>
      </c>
      <c r="I376" s="14" t="s">
        <v>5</v>
      </c>
    </row>
    <row r="377" spans="2:9" ht="15.75">
      <c r="B377" s="40" t="s">
        <v>535</v>
      </c>
      <c r="C377" s="38">
        <v>3.22</v>
      </c>
      <c r="D377" s="10" t="s">
        <v>71</v>
      </c>
      <c r="E377" s="11" t="s">
        <v>5</v>
      </c>
      <c r="F377" s="12" t="s">
        <v>456</v>
      </c>
      <c r="G377" s="12">
        <v>3.65</v>
      </c>
      <c r="H377" s="12" t="s">
        <v>71</v>
      </c>
      <c r="I377" s="14" t="s">
        <v>5</v>
      </c>
    </row>
    <row r="378" spans="2:9" ht="15.75">
      <c r="B378" s="37" t="s">
        <v>507</v>
      </c>
      <c r="C378" s="38">
        <v>3.29</v>
      </c>
      <c r="D378" s="10" t="s">
        <v>71</v>
      </c>
      <c r="E378" s="11" t="s">
        <v>5</v>
      </c>
      <c r="F378" s="12" t="s">
        <v>536</v>
      </c>
      <c r="G378" s="17">
        <v>3.65</v>
      </c>
      <c r="H378" s="12" t="s">
        <v>58</v>
      </c>
      <c r="I378" s="14" t="s">
        <v>5</v>
      </c>
    </row>
    <row r="379" spans="2:9" ht="15.75">
      <c r="B379" s="40" t="s">
        <v>537</v>
      </c>
      <c r="C379" s="36">
        <v>3.15</v>
      </c>
      <c r="D379" s="10" t="s">
        <v>71</v>
      </c>
      <c r="E379" s="11" t="s">
        <v>5</v>
      </c>
      <c r="F379" s="12" t="s">
        <v>538</v>
      </c>
      <c r="G379" s="17">
        <v>3.65</v>
      </c>
      <c r="H379" s="12" t="s">
        <v>38</v>
      </c>
      <c r="I379" s="14" t="s">
        <v>5</v>
      </c>
    </row>
    <row r="380" spans="2:9" ht="15.75">
      <c r="B380" s="40" t="s">
        <v>161</v>
      </c>
      <c r="C380" s="38">
        <v>4.16</v>
      </c>
      <c r="D380" s="10" t="s">
        <v>71</v>
      </c>
      <c r="E380" s="11" t="s">
        <v>5</v>
      </c>
      <c r="F380" s="12" t="s">
        <v>539</v>
      </c>
      <c r="G380" s="13">
        <v>3.65</v>
      </c>
      <c r="H380" s="12" t="s">
        <v>38</v>
      </c>
      <c r="I380" s="14" t="s">
        <v>5</v>
      </c>
    </row>
    <row r="381" spans="2:9" ht="15.75">
      <c r="B381" s="40" t="s">
        <v>376</v>
      </c>
      <c r="C381" s="36">
        <v>3.26</v>
      </c>
      <c r="D381" s="10" t="s">
        <v>71</v>
      </c>
      <c r="E381" s="11" t="s">
        <v>5</v>
      </c>
      <c r="F381" s="12" t="s">
        <v>540</v>
      </c>
      <c r="G381" s="13">
        <v>3.65</v>
      </c>
      <c r="H381" s="12" t="s">
        <v>11</v>
      </c>
      <c r="I381" s="14" t="s">
        <v>5</v>
      </c>
    </row>
    <row r="382" spans="2:9" ht="15.75">
      <c r="B382" s="37" t="s">
        <v>541</v>
      </c>
      <c r="C382" s="38">
        <v>3.52</v>
      </c>
      <c r="D382" s="10" t="s">
        <v>71</v>
      </c>
      <c r="E382" s="11" t="s">
        <v>5</v>
      </c>
      <c r="F382" s="12" t="s">
        <v>542</v>
      </c>
      <c r="G382" s="13">
        <v>3.65</v>
      </c>
      <c r="H382" s="12" t="s">
        <v>30</v>
      </c>
      <c r="I382" s="14" t="s">
        <v>5</v>
      </c>
    </row>
    <row r="383" spans="2:9" ht="15.75">
      <c r="B383" s="37" t="s">
        <v>543</v>
      </c>
      <c r="C383" s="36">
        <v>3.31</v>
      </c>
      <c r="D383" s="10" t="s">
        <v>71</v>
      </c>
      <c r="E383" s="11" t="s">
        <v>39</v>
      </c>
      <c r="F383" s="12" t="s">
        <v>12</v>
      </c>
      <c r="G383" s="17">
        <v>3.63</v>
      </c>
      <c r="H383" s="12" t="s">
        <v>4</v>
      </c>
      <c r="I383" s="14" t="s">
        <v>5</v>
      </c>
    </row>
    <row r="384" spans="2:9" ht="15.75">
      <c r="B384" s="37" t="s">
        <v>544</v>
      </c>
      <c r="C384" s="36">
        <v>3.62</v>
      </c>
      <c r="D384" s="10" t="s">
        <v>71</v>
      </c>
      <c r="E384" s="11" t="s">
        <v>39</v>
      </c>
      <c r="F384" s="12" t="s">
        <v>83</v>
      </c>
      <c r="G384" s="12">
        <v>3.63</v>
      </c>
      <c r="H384" s="12" t="s">
        <v>4</v>
      </c>
      <c r="I384" s="14" t="s">
        <v>5</v>
      </c>
    </row>
    <row r="385" spans="2:9" ht="15.75">
      <c r="B385" s="37" t="s">
        <v>545</v>
      </c>
      <c r="C385" s="38">
        <v>3.21</v>
      </c>
      <c r="D385" s="10" t="s">
        <v>71</v>
      </c>
      <c r="E385" s="11" t="s">
        <v>39</v>
      </c>
      <c r="F385" s="12" t="s">
        <v>196</v>
      </c>
      <c r="G385" s="17">
        <v>3.63</v>
      </c>
      <c r="H385" s="12" t="s">
        <v>4</v>
      </c>
      <c r="I385" s="14" t="s">
        <v>5</v>
      </c>
    </row>
    <row r="386" spans="2:9" ht="15.75">
      <c r="B386" s="37" t="s">
        <v>388</v>
      </c>
      <c r="C386" s="38">
        <v>3.84</v>
      </c>
      <c r="D386" s="10" t="s">
        <v>71</v>
      </c>
      <c r="E386" s="11" t="s">
        <v>5</v>
      </c>
      <c r="F386" s="12" t="s">
        <v>218</v>
      </c>
      <c r="G386" s="12">
        <v>3.63</v>
      </c>
      <c r="H386" s="12" t="s">
        <v>4</v>
      </c>
      <c r="I386" s="14" t="s">
        <v>5</v>
      </c>
    </row>
    <row r="387" spans="2:9" ht="15.75">
      <c r="B387" s="37" t="s">
        <v>387</v>
      </c>
      <c r="C387" s="38">
        <v>3.2</v>
      </c>
      <c r="D387" s="10" t="s">
        <v>71</v>
      </c>
      <c r="E387" s="11" t="s">
        <v>5</v>
      </c>
      <c r="F387" s="12" t="s">
        <v>347</v>
      </c>
      <c r="G387" s="17">
        <v>3.63</v>
      </c>
      <c r="H387" s="12" t="s">
        <v>48</v>
      </c>
      <c r="I387" s="14" t="s">
        <v>5</v>
      </c>
    </row>
    <row r="388" spans="2:9" ht="15.75">
      <c r="B388" s="37" t="s">
        <v>491</v>
      </c>
      <c r="C388" s="38">
        <v>3.72</v>
      </c>
      <c r="D388" s="10" t="s">
        <v>71</v>
      </c>
      <c r="E388" s="11" t="s">
        <v>39</v>
      </c>
      <c r="F388" s="12" t="s">
        <v>375</v>
      </c>
      <c r="G388" s="12">
        <v>3.63</v>
      </c>
      <c r="H388" s="12" t="s">
        <v>48</v>
      </c>
      <c r="I388" s="14" t="s">
        <v>5</v>
      </c>
    </row>
    <row r="389" spans="2:9" ht="15.75">
      <c r="B389" s="37" t="s">
        <v>546</v>
      </c>
      <c r="C389" s="38">
        <v>3.47</v>
      </c>
      <c r="D389" s="10" t="s">
        <v>71</v>
      </c>
      <c r="E389" s="11" t="s">
        <v>5</v>
      </c>
      <c r="F389" s="12" t="s">
        <v>397</v>
      </c>
      <c r="G389" s="17">
        <v>3.63</v>
      </c>
      <c r="H389" s="12" t="s">
        <v>48</v>
      </c>
      <c r="I389" s="14" t="s">
        <v>5</v>
      </c>
    </row>
    <row r="390" spans="2:9" ht="15.75">
      <c r="B390" s="37" t="s">
        <v>547</v>
      </c>
      <c r="C390" s="38">
        <v>3.17</v>
      </c>
      <c r="D390" s="10" t="s">
        <v>71</v>
      </c>
      <c r="E390" s="11" t="s">
        <v>5</v>
      </c>
      <c r="F390" s="12" t="s">
        <v>411</v>
      </c>
      <c r="G390" s="12">
        <v>3.63</v>
      </c>
      <c r="H390" s="12" t="s">
        <v>48</v>
      </c>
      <c r="I390" s="14" t="s">
        <v>35</v>
      </c>
    </row>
    <row r="391" spans="2:9" ht="15.75">
      <c r="B391" s="37" t="s">
        <v>548</v>
      </c>
      <c r="C391" s="38">
        <v>3.16</v>
      </c>
      <c r="D391" s="10" t="s">
        <v>71</v>
      </c>
      <c r="E391" s="11" t="s">
        <v>5</v>
      </c>
      <c r="F391" s="12" t="s">
        <v>419</v>
      </c>
      <c r="G391" s="17">
        <v>3.63</v>
      </c>
      <c r="H391" s="12" t="s">
        <v>48</v>
      </c>
      <c r="I391" s="14" t="s">
        <v>39</v>
      </c>
    </row>
    <row r="392" spans="2:9" ht="15.75">
      <c r="B392" s="37" t="s">
        <v>549</v>
      </c>
      <c r="C392" s="36">
        <v>3.27</v>
      </c>
      <c r="D392" s="10" t="s">
        <v>71</v>
      </c>
      <c r="E392" s="11" t="s">
        <v>5</v>
      </c>
      <c r="F392" s="12" t="s">
        <v>529</v>
      </c>
      <c r="G392" s="12">
        <v>3.63</v>
      </c>
      <c r="H392" s="12" t="s">
        <v>71</v>
      </c>
      <c r="I392" s="14" t="s">
        <v>35</v>
      </c>
    </row>
    <row r="393" spans="2:9" ht="15.75">
      <c r="B393" s="37" t="s">
        <v>550</v>
      </c>
      <c r="C393" s="38">
        <v>3.6</v>
      </c>
      <c r="D393" s="10" t="s">
        <v>71</v>
      </c>
      <c r="E393" s="11" t="s">
        <v>35</v>
      </c>
      <c r="F393" s="12" t="s">
        <v>531</v>
      </c>
      <c r="G393" s="12">
        <v>3.63</v>
      </c>
      <c r="H393" s="12" t="s">
        <v>71</v>
      </c>
      <c r="I393" s="14" t="s">
        <v>5</v>
      </c>
    </row>
    <row r="394" spans="2:9" ht="15.75">
      <c r="B394" s="37" t="s">
        <v>466</v>
      </c>
      <c r="C394" s="38">
        <v>3.76</v>
      </c>
      <c r="D394" s="10" t="s">
        <v>71</v>
      </c>
      <c r="E394" s="11" t="s">
        <v>5</v>
      </c>
      <c r="F394" s="12" t="s">
        <v>551</v>
      </c>
      <c r="G394" s="12">
        <v>3.63</v>
      </c>
      <c r="H394" s="12" t="s">
        <v>71</v>
      </c>
      <c r="I394" s="14" t="s">
        <v>5</v>
      </c>
    </row>
    <row r="395" spans="2:9" ht="15.75">
      <c r="B395" s="37" t="s">
        <v>552</v>
      </c>
      <c r="C395" s="38">
        <v>3.42</v>
      </c>
      <c r="D395" s="10" t="s">
        <v>71</v>
      </c>
      <c r="E395" s="11" t="s">
        <v>35</v>
      </c>
      <c r="F395" s="12" t="s">
        <v>553</v>
      </c>
      <c r="G395" s="12">
        <v>3.63</v>
      </c>
      <c r="H395" s="12" t="s">
        <v>71</v>
      </c>
      <c r="I395" s="14" t="s">
        <v>5</v>
      </c>
    </row>
    <row r="396" spans="2:9" ht="15.75">
      <c r="B396" s="37" t="s">
        <v>554</v>
      </c>
      <c r="C396" s="38">
        <v>3.3</v>
      </c>
      <c r="D396" s="10" t="s">
        <v>71</v>
      </c>
      <c r="E396" s="11" t="s">
        <v>5</v>
      </c>
      <c r="F396" s="12" t="s">
        <v>555</v>
      </c>
      <c r="G396" s="12">
        <v>3.63</v>
      </c>
      <c r="H396" s="12" t="s">
        <v>71</v>
      </c>
      <c r="I396" s="14" t="s">
        <v>5</v>
      </c>
    </row>
    <row r="397" spans="2:9" ht="15.75">
      <c r="B397" s="37" t="s">
        <v>556</v>
      </c>
      <c r="C397" s="38">
        <v>3.2</v>
      </c>
      <c r="D397" s="10" t="s">
        <v>71</v>
      </c>
      <c r="E397" s="11" t="s">
        <v>5</v>
      </c>
      <c r="F397" s="12" t="s">
        <v>557</v>
      </c>
      <c r="G397" s="12">
        <v>3.63</v>
      </c>
      <c r="H397" s="12" t="s">
        <v>58</v>
      </c>
      <c r="I397" s="14" t="s">
        <v>5</v>
      </c>
    </row>
    <row r="398" spans="2:9" ht="15.75">
      <c r="B398" s="37" t="s">
        <v>327</v>
      </c>
      <c r="C398" s="38">
        <v>3.89</v>
      </c>
      <c r="D398" s="10" t="s">
        <v>71</v>
      </c>
      <c r="E398" s="11" t="s">
        <v>5</v>
      </c>
      <c r="F398" s="12" t="s">
        <v>558</v>
      </c>
      <c r="G398" s="12">
        <v>3.63</v>
      </c>
      <c r="H398" s="12" t="s">
        <v>58</v>
      </c>
      <c r="I398" s="14" t="s">
        <v>5</v>
      </c>
    </row>
    <row r="399" spans="2:9" ht="15.75">
      <c r="B399" s="37" t="s">
        <v>559</v>
      </c>
      <c r="C399" s="36">
        <v>3.56</v>
      </c>
      <c r="D399" s="10" t="s">
        <v>71</v>
      </c>
      <c r="E399" s="11" t="s">
        <v>5</v>
      </c>
      <c r="F399" s="12" t="s">
        <v>551</v>
      </c>
      <c r="G399" s="17">
        <v>3.63</v>
      </c>
      <c r="H399" s="12" t="s">
        <v>58</v>
      </c>
      <c r="I399" s="14" t="s">
        <v>5</v>
      </c>
    </row>
    <row r="400" spans="2:9" ht="15.75">
      <c r="B400" s="37" t="s">
        <v>259</v>
      </c>
      <c r="C400" s="38">
        <v>3.05</v>
      </c>
      <c r="D400" s="10" t="s">
        <v>71</v>
      </c>
      <c r="E400" s="11" t="s">
        <v>5</v>
      </c>
      <c r="F400" s="12" t="s">
        <v>560</v>
      </c>
      <c r="G400" s="17">
        <v>3.63</v>
      </c>
      <c r="H400" s="12" t="s">
        <v>38</v>
      </c>
      <c r="I400" s="14" t="s">
        <v>5</v>
      </c>
    </row>
    <row r="401" spans="2:9" ht="15.75">
      <c r="B401" s="37" t="s">
        <v>551</v>
      </c>
      <c r="C401" s="38">
        <v>3.63</v>
      </c>
      <c r="D401" s="10" t="s">
        <v>71</v>
      </c>
      <c r="E401" s="11" t="s">
        <v>5</v>
      </c>
      <c r="F401" s="12" t="s">
        <v>561</v>
      </c>
      <c r="G401" s="13">
        <v>3.63</v>
      </c>
      <c r="H401" s="12" t="s">
        <v>38</v>
      </c>
      <c r="I401" s="14" t="s">
        <v>5</v>
      </c>
    </row>
    <row r="402" spans="2:9" ht="15.75">
      <c r="B402" s="37" t="s">
        <v>502</v>
      </c>
      <c r="C402" s="36">
        <v>3.7</v>
      </c>
      <c r="D402" s="10" t="s">
        <v>71</v>
      </c>
      <c r="E402" s="11" t="s">
        <v>5</v>
      </c>
      <c r="F402" s="12" t="s">
        <v>561</v>
      </c>
      <c r="G402" s="13">
        <v>3.63</v>
      </c>
      <c r="H402" s="12" t="s">
        <v>11</v>
      </c>
      <c r="I402" s="14" t="s">
        <v>5</v>
      </c>
    </row>
    <row r="403" spans="2:9" ht="15.75">
      <c r="B403" s="37" t="s">
        <v>562</v>
      </c>
      <c r="C403" s="36">
        <v>3.47</v>
      </c>
      <c r="D403" s="10" t="s">
        <v>71</v>
      </c>
      <c r="E403" s="11" t="s">
        <v>5</v>
      </c>
      <c r="F403" s="12" t="s">
        <v>563</v>
      </c>
      <c r="G403" s="13">
        <v>3.63</v>
      </c>
      <c r="H403" s="12" t="s">
        <v>30</v>
      </c>
      <c r="I403" s="14" t="s">
        <v>5</v>
      </c>
    </row>
    <row r="404" spans="2:9" ht="15.75">
      <c r="B404" s="37" t="s">
        <v>564</v>
      </c>
      <c r="C404" s="38">
        <v>3.47</v>
      </c>
      <c r="D404" s="10" t="s">
        <v>71</v>
      </c>
      <c r="E404" s="11" t="s">
        <v>5</v>
      </c>
      <c r="F404" s="12" t="s">
        <v>565</v>
      </c>
      <c r="G404" s="13">
        <v>3.63</v>
      </c>
      <c r="H404" s="12" t="s">
        <v>30</v>
      </c>
      <c r="I404" s="14" t="s">
        <v>5</v>
      </c>
    </row>
    <row r="405" spans="2:9" ht="15.75">
      <c r="B405" s="37" t="s">
        <v>422</v>
      </c>
      <c r="C405" s="38">
        <v>3.8</v>
      </c>
      <c r="D405" s="10" t="s">
        <v>71</v>
      </c>
      <c r="E405" s="11" t="s">
        <v>5</v>
      </c>
      <c r="F405" s="12" t="s">
        <v>566</v>
      </c>
      <c r="G405" s="13">
        <v>3.63</v>
      </c>
      <c r="H405" s="12" t="s">
        <v>30</v>
      </c>
      <c r="I405" s="14" t="s">
        <v>5</v>
      </c>
    </row>
    <row r="406" spans="2:9" ht="15.75">
      <c r="B406" s="37" t="s">
        <v>567</v>
      </c>
      <c r="C406" s="38">
        <v>3.47</v>
      </c>
      <c r="D406" s="10" t="s">
        <v>71</v>
      </c>
      <c r="E406" s="11" t="s">
        <v>5</v>
      </c>
      <c r="F406" s="12" t="s">
        <v>568</v>
      </c>
      <c r="G406" s="13">
        <v>3.63</v>
      </c>
      <c r="H406" s="12" t="s">
        <v>30</v>
      </c>
      <c r="I406" s="14" t="s">
        <v>5</v>
      </c>
    </row>
    <row r="407" spans="2:9" ht="15.75">
      <c r="B407" s="37" t="s">
        <v>569</v>
      </c>
      <c r="C407" s="38">
        <v>3.28</v>
      </c>
      <c r="D407" s="10" t="s">
        <v>71</v>
      </c>
      <c r="E407" s="11" t="s">
        <v>5</v>
      </c>
      <c r="F407" s="12" t="s">
        <v>570</v>
      </c>
      <c r="G407" s="13">
        <v>3.63</v>
      </c>
      <c r="H407" s="12" t="s">
        <v>48</v>
      </c>
      <c r="I407" s="14" t="s">
        <v>35</v>
      </c>
    </row>
    <row r="408" spans="2:9" ht="15.75">
      <c r="B408" s="37" t="s">
        <v>571</v>
      </c>
      <c r="C408" s="38">
        <v>3.58</v>
      </c>
      <c r="D408" s="10" t="s">
        <v>71</v>
      </c>
      <c r="E408" s="11" t="s">
        <v>35</v>
      </c>
      <c r="F408" s="12" t="s">
        <v>570</v>
      </c>
      <c r="G408" s="13">
        <v>3.63</v>
      </c>
      <c r="H408" s="12" t="s">
        <v>30</v>
      </c>
      <c r="I408" s="14" t="s">
        <v>35</v>
      </c>
    </row>
    <row r="409" spans="2:9" ht="15.75">
      <c r="B409" s="37" t="s">
        <v>572</v>
      </c>
      <c r="C409" s="38">
        <v>3.21</v>
      </c>
      <c r="D409" s="10" t="s">
        <v>71</v>
      </c>
      <c r="E409" s="11" t="s">
        <v>5</v>
      </c>
      <c r="F409" s="12" t="s">
        <v>573</v>
      </c>
      <c r="G409" s="13">
        <v>3.63</v>
      </c>
      <c r="H409" s="12" t="s">
        <v>30</v>
      </c>
      <c r="I409" s="14" t="s">
        <v>35</v>
      </c>
    </row>
    <row r="410" spans="2:9" ht="15.75">
      <c r="B410" s="37" t="s">
        <v>493</v>
      </c>
      <c r="C410" s="38">
        <v>3.72</v>
      </c>
      <c r="D410" s="10" t="s">
        <v>71</v>
      </c>
      <c r="E410" s="11" t="s">
        <v>5</v>
      </c>
      <c r="F410" s="12" t="s">
        <v>544</v>
      </c>
      <c r="G410" s="17">
        <v>3.62</v>
      </c>
      <c r="H410" s="12" t="s">
        <v>71</v>
      </c>
      <c r="I410" s="14" t="s">
        <v>39</v>
      </c>
    </row>
    <row r="411" spans="2:9" ht="15.75">
      <c r="B411" s="37" t="s">
        <v>574</v>
      </c>
      <c r="C411" s="38">
        <v>3.5</v>
      </c>
      <c r="D411" s="10" t="s">
        <v>71</v>
      </c>
      <c r="E411" s="11" t="s">
        <v>5</v>
      </c>
      <c r="F411" s="12" t="s">
        <v>544</v>
      </c>
      <c r="G411" s="13">
        <v>3.62</v>
      </c>
      <c r="H411" s="12" t="s">
        <v>11</v>
      </c>
      <c r="I411" s="14" t="s">
        <v>35</v>
      </c>
    </row>
    <row r="412" spans="2:9" ht="15.75">
      <c r="B412" s="37" t="s">
        <v>553</v>
      </c>
      <c r="C412" s="38">
        <v>3.63</v>
      </c>
      <c r="D412" s="10" t="s">
        <v>71</v>
      </c>
      <c r="E412" s="11" t="s">
        <v>5</v>
      </c>
      <c r="F412" s="12" t="s">
        <v>575</v>
      </c>
      <c r="G412" s="13">
        <v>3.62</v>
      </c>
      <c r="H412" s="12" t="s">
        <v>30</v>
      </c>
      <c r="I412" s="14" t="s">
        <v>35</v>
      </c>
    </row>
    <row r="413" spans="2:9" ht="15.75">
      <c r="B413" s="37" t="s">
        <v>537</v>
      </c>
      <c r="C413" s="38">
        <v>3.17</v>
      </c>
      <c r="D413" s="10" t="s">
        <v>71</v>
      </c>
      <c r="E413" s="11" t="s">
        <v>5</v>
      </c>
      <c r="F413" s="12" t="s">
        <v>281</v>
      </c>
      <c r="G413" s="17">
        <v>3.61</v>
      </c>
      <c r="H413" s="12" t="s">
        <v>48</v>
      </c>
      <c r="I413" s="14" t="s">
        <v>5</v>
      </c>
    </row>
    <row r="414" spans="2:9" ht="15.75">
      <c r="B414" s="37" t="s">
        <v>576</v>
      </c>
      <c r="C414" s="38">
        <v>3.22</v>
      </c>
      <c r="D414" s="10" t="s">
        <v>71</v>
      </c>
      <c r="E414" s="11" t="s">
        <v>5</v>
      </c>
      <c r="F414" s="12" t="s">
        <v>281</v>
      </c>
      <c r="G414" s="12">
        <v>3.61</v>
      </c>
      <c r="H414" s="12" t="s">
        <v>48</v>
      </c>
      <c r="I414" s="14" t="s">
        <v>5</v>
      </c>
    </row>
    <row r="415" spans="2:9" ht="15.75">
      <c r="B415" s="37" t="s">
        <v>225</v>
      </c>
      <c r="C415" s="38">
        <v>4.05</v>
      </c>
      <c r="D415" s="10" t="s">
        <v>71</v>
      </c>
      <c r="E415" s="11" t="s">
        <v>5</v>
      </c>
      <c r="F415" s="12" t="s">
        <v>324</v>
      </c>
      <c r="G415" s="17">
        <v>3.61</v>
      </c>
      <c r="H415" s="12" t="s">
        <v>48</v>
      </c>
      <c r="I415" s="14" t="s">
        <v>5</v>
      </c>
    </row>
    <row r="416" spans="2:9" ht="15.75">
      <c r="B416" s="37" t="s">
        <v>555</v>
      </c>
      <c r="C416" s="38">
        <v>3.63</v>
      </c>
      <c r="D416" s="10" t="s">
        <v>71</v>
      </c>
      <c r="E416" s="11" t="s">
        <v>5</v>
      </c>
      <c r="F416" s="41" t="s">
        <v>430</v>
      </c>
      <c r="G416" s="12">
        <v>3.61</v>
      </c>
      <c r="H416" s="12" t="s">
        <v>48</v>
      </c>
      <c r="I416" s="14" t="s">
        <v>5</v>
      </c>
    </row>
    <row r="417" spans="2:9" ht="15.75">
      <c r="B417" s="37" t="s">
        <v>577</v>
      </c>
      <c r="C417" s="36">
        <v>3.22</v>
      </c>
      <c r="D417" s="10" t="s">
        <v>71</v>
      </c>
      <c r="E417" s="11" t="s">
        <v>5</v>
      </c>
      <c r="F417" s="12" t="s">
        <v>578</v>
      </c>
      <c r="G417" s="17">
        <v>3.61</v>
      </c>
      <c r="H417" s="12" t="s">
        <v>58</v>
      </c>
      <c r="I417" s="14" t="s">
        <v>39</v>
      </c>
    </row>
    <row r="418" spans="2:9" ht="15.75">
      <c r="B418" s="37" t="s">
        <v>420</v>
      </c>
      <c r="C418" s="38">
        <v>3.26</v>
      </c>
      <c r="D418" s="10" t="s">
        <v>71</v>
      </c>
      <c r="E418" s="11" t="s">
        <v>5</v>
      </c>
      <c r="F418" s="12" t="s">
        <v>579</v>
      </c>
      <c r="G418" s="13">
        <v>3.61</v>
      </c>
      <c r="H418" s="12" t="s">
        <v>38</v>
      </c>
      <c r="I418" s="14" t="s">
        <v>5</v>
      </c>
    </row>
    <row r="419" spans="2:9" ht="15.75">
      <c r="B419" s="37" t="s">
        <v>580</v>
      </c>
      <c r="C419" s="38">
        <v>3.35</v>
      </c>
      <c r="D419" s="10" t="s">
        <v>71</v>
      </c>
      <c r="E419" s="11" t="s">
        <v>5</v>
      </c>
      <c r="F419" s="12" t="s">
        <v>581</v>
      </c>
      <c r="G419" s="13">
        <v>3.61</v>
      </c>
      <c r="H419" s="12" t="s">
        <v>58</v>
      </c>
      <c r="I419" s="14" t="s">
        <v>5</v>
      </c>
    </row>
    <row r="420" spans="2:9" ht="15.75">
      <c r="B420" s="37" t="s">
        <v>208</v>
      </c>
      <c r="C420" s="38">
        <v>4.07</v>
      </c>
      <c r="D420" s="10" t="s">
        <v>71</v>
      </c>
      <c r="E420" s="11" t="s">
        <v>35</v>
      </c>
      <c r="F420" s="12" t="s">
        <v>581</v>
      </c>
      <c r="G420" s="13">
        <v>3.61</v>
      </c>
      <c r="H420" s="12" t="s">
        <v>71</v>
      </c>
      <c r="I420" s="14" t="s">
        <v>5</v>
      </c>
    </row>
    <row r="421" spans="2:9" ht="15.75">
      <c r="B421" s="37" t="s">
        <v>582</v>
      </c>
      <c r="C421" s="38">
        <v>3.29</v>
      </c>
      <c r="D421" s="10" t="s">
        <v>71</v>
      </c>
      <c r="E421" s="11" t="s">
        <v>5</v>
      </c>
      <c r="F421" s="12" t="s">
        <v>581</v>
      </c>
      <c r="G421" s="13">
        <v>3.61</v>
      </c>
      <c r="H421" s="12" t="s">
        <v>38</v>
      </c>
      <c r="I421" s="14" t="s">
        <v>5</v>
      </c>
    </row>
    <row r="422" spans="2:9" ht="15.75">
      <c r="B422" s="37" t="s">
        <v>583</v>
      </c>
      <c r="C422" s="36">
        <v>3.44</v>
      </c>
      <c r="D422" s="10" t="s">
        <v>71</v>
      </c>
      <c r="E422" s="11" t="s">
        <v>39</v>
      </c>
      <c r="F422" s="12" t="s">
        <v>550</v>
      </c>
      <c r="G422" s="12">
        <v>3.6</v>
      </c>
      <c r="H422" s="12" t="s">
        <v>71</v>
      </c>
      <c r="I422" s="14" t="s">
        <v>35</v>
      </c>
    </row>
    <row r="423" spans="2:9" ht="15.75">
      <c r="B423" s="37" t="s">
        <v>508</v>
      </c>
      <c r="C423" s="38">
        <v>3.68</v>
      </c>
      <c r="D423" s="10" t="s">
        <v>71</v>
      </c>
      <c r="E423" s="11" t="s">
        <v>5</v>
      </c>
      <c r="F423" s="12" t="s">
        <v>550</v>
      </c>
      <c r="G423" s="12">
        <v>3.6</v>
      </c>
      <c r="H423" s="12" t="s">
        <v>11</v>
      </c>
      <c r="I423" s="14" t="s">
        <v>35</v>
      </c>
    </row>
    <row r="424" spans="2:9" ht="15.75">
      <c r="B424" s="37" t="s">
        <v>584</v>
      </c>
      <c r="C424" s="38">
        <v>3.44</v>
      </c>
      <c r="D424" s="10" t="s">
        <v>71</v>
      </c>
      <c r="E424" s="11" t="s">
        <v>5</v>
      </c>
      <c r="F424" s="12" t="s">
        <v>189</v>
      </c>
      <c r="G424" s="17">
        <v>3.59</v>
      </c>
      <c r="H424" s="12" t="s">
        <v>4</v>
      </c>
      <c r="I424" s="14" t="s">
        <v>5</v>
      </c>
    </row>
    <row r="425" spans="2:9" ht="15.75">
      <c r="B425" s="37" t="s">
        <v>471</v>
      </c>
      <c r="C425" s="38">
        <v>3.75</v>
      </c>
      <c r="D425" s="10" t="s">
        <v>71</v>
      </c>
      <c r="E425" s="11" t="s">
        <v>5</v>
      </c>
      <c r="F425" s="12" t="s">
        <v>585</v>
      </c>
      <c r="G425" s="13">
        <v>3.59</v>
      </c>
      <c r="H425" s="12" t="s">
        <v>38</v>
      </c>
      <c r="I425" s="14" t="s">
        <v>5</v>
      </c>
    </row>
    <row r="426" spans="2:9" ht="15.75">
      <c r="B426" s="37" t="s">
        <v>294</v>
      </c>
      <c r="C426" s="38">
        <v>3.79</v>
      </c>
      <c r="D426" s="10" t="s">
        <v>71</v>
      </c>
      <c r="E426" s="11" t="s">
        <v>5</v>
      </c>
      <c r="F426" s="12" t="s">
        <v>585</v>
      </c>
      <c r="G426" s="13">
        <v>3.59</v>
      </c>
      <c r="H426" s="12" t="s">
        <v>48</v>
      </c>
      <c r="I426" s="14" t="s">
        <v>5</v>
      </c>
    </row>
    <row r="427" spans="2:9" ht="15.75">
      <c r="B427" s="37" t="s">
        <v>586</v>
      </c>
      <c r="C427" s="38">
        <v>3.47</v>
      </c>
      <c r="D427" s="10" t="s">
        <v>71</v>
      </c>
      <c r="E427" s="11" t="s">
        <v>5</v>
      </c>
      <c r="F427" s="12" t="s">
        <v>585</v>
      </c>
      <c r="G427" s="13">
        <v>3.59</v>
      </c>
      <c r="H427" s="12" t="s">
        <v>30</v>
      </c>
      <c r="I427" s="14" t="s">
        <v>5</v>
      </c>
    </row>
    <row r="428" spans="2:9" ht="15.75">
      <c r="B428" s="37" t="s">
        <v>587</v>
      </c>
      <c r="C428" s="38">
        <v>3.5</v>
      </c>
      <c r="D428" s="10" t="s">
        <v>71</v>
      </c>
      <c r="E428" s="11" t="s">
        <v>5</v>
      </c>
      <c r="F428" s="12" t="s">
        <v>31</v>
      </c>
      <c r="G428" s="17">
        <v>3.58</v>
      </c>
      <c r="H428" s="12" t="s">
        <v>4</v>
      </c>
      <c r="I428" s="14" t="s">
        <v>5</v>
      </c>
    </row>
    <row r="429" spans="2:9" ht="15.75">
      <c r="B429" s="37" t="s">
        <v>440</v>
      </c>
      <c r="C429" s="38">
        <v>3.78</v>
      </c>
      <c r="D429" s="10" t="s">
        <v>71</v>
      </c>
      <c r="E429" s="11" t="s">
        <v>5</v>
      </c>
      <c r="F429" s="12" t="s">
        <v>230</v>
      </c>
      <c r="G429" s="17">
        <v>3.58</v>
      </c>
      <c r="H429" s="12" t="s">
        <v>4</v>
      </c>
      <c r="I429" s="14" t="s">
        <v>5</v>
      </c>
    </row>
    <row r="430" spans="2:9" ht="15.75">
      <c r="B430" s="37" t="s">
        <v>420</v>
      </c>
      <c r="C430" s="38">
        <v>3.55</v>
      </c>
      <c r="D430" s="10" t="s">
        <v>71</v>
      </c>
      <c r="E430" s="11" t="s">
        <v>5</v>
      </c>
      <c r="F430" s="12" t="s">
        <v>264</v>
      </c>
      <c r="G430" s="12">
        <v>3.58</v>
      </c>
      <c r="H430" s="12" t="s">
        <v>48</v>
      </c>
      <c r="I430" s="14" t="s">
        <v>5</v>
      </c>
    </row>
    <row r="431" spans="2:9" ht="15.75">
      <c r="B431" s="37" t="s">
        <v>588</v>
      </c>
      <c r="C431" s="38">
        <v>3.11</v>
      </c>
      <c r="D431" s="10" t="s">
        <v>71</v>
      </c>
      <c r="E431" s="11" t="s">
        <v>5</v>
      </c>
      <c r="F431" s="12" t="s">
        <v>273</v>
      </c>
      <c r="G431" s="12">
        <v>3.58</v>
      </c>
      <c r="H431" s="12" t="s">
        <v>48</v>
      </c>
      <c r="I431" s="14" t="s">
        <v>5</v>
      </c>
    </row>
    <row r="432" spans="2:9" ht="15.75">
      <c r="B432" s="37" t="s">
        <v>227</v>
      </c>
      <c r="C432" s="38">
        <v>4.05</v>
      </c>
      <c r="D432" s="10" t="s">
        <v>71</v>
      </c>
      <c r="E432" s="11" t="s">
        <v>5</v>
      </c>
      <c r="F432" s="12" t="s">
        <v>354</v>
      </c>
      <c r="G432" s="12">
        <v>3.58</v>
      </c>
      <c r="H432" s="12" t="s">
        <v>48</v>
      </c>
      <c r="I432" s="14" t="s">
        <v>39</v>
      </c>
    </row>
    <row r="433" spans="2:9" ht="15.75">
      <c r="B433" s="37" t="s">
        <v>589</v>
      </c>
      <c r="C433" s="36">
        <v>3.55</v>
      </c>
      <c r="D433" s="10" t="s">
        <v>71</v>
      </c>
      <c r="E433" s="11" t="s">
        <v>5</v>
      </c>
      <c r="F433" s="12" t="s">
        <v>438</v>
      </c>
      <c r="G433" s="12">
        <v>3.58</v>
      </c>
      <c r="H433" s="12" t="s">
        <v>48</v>
      </c>
      <c r="I433" s="14" t="s">
        <v>5</v>
      </c>
    </row>
    <row r="434" spans="2:9" ht="15.75">
      <c r="B434" s="37" t="s">
        <v>590</v>
      </c>
      <c r="C434" s="36">
        <v>3.22</v>
      </c>
      <c r="D434" s="10" t="s">
        <v>71</v>
      </c>
      <c r="E434" s="11" t="s">
        <v>5</v>
      </c>
      <c r="F434" s="12" t="s">
        <v>571</v>
      </c>
      <c r="G434" s="12">
        <v>3.58</v>
      </c>
      <c r="H434" s="12" t="s">
        <v>71</v>
      </c>
      <c r="I434" s="14" t="s">
        <v>35</v>
      </c>
    </row>
    <row r="435" spans="2:9" ht="15.75">
      <c r="B435" s="37" t="s">
        <v>591</v>
      </c>
      <c r="C435" s="36">
        <v>3.58</v>
      </c>
      <c r="D435" s="10" t="s">
        <v>71</v>
      </c>
      <c r="E435" s="11" t="s">
        <v>5</v>
      </c>
      <c r="F435" s="12" t="s">
        <v>591</v>
      </c>
      <c r="G435" s="17">
        <v>3.58</v>
      </c>
      <c r="H435" s="12" t="s">
        <v>71</v>
      </c>
      <c r="I435" s="14" t="s">
        <v>5</v>
      </c>
    </row>
    <row r="436" spans="2:9" ht="15.75">
      <c r="B436" s="37" t="s">
        <v>592</v>
      </c>
      <c r="C436" s="38">
        <v>3.32</v>
      </c>
      <c r="D436" s="10" t="s">
        <v>71</v>
      </c>
      <c r="E436" s="11" t="s">
        <v>5</v>
      </c>
      <c r="F436" s="12" t="s">
        <v>593</v>
      </c>
      <c r="G436" s="17">
        <v>3.58</v>
      </c>
      <c r="H436" s="12" t="s">
        <v>58</v>
      </c>
      <c r="I436" s="14" t="s">
        <v>39</v>
      </c>
    </row>
    <row r="437" spans="2:9" ht="15.75">
      <c r="B437" s="37" t="s">
        <v>594</v>
      </c>
      <c r="C437" s="38">
        <v>3.35</v>
      </c>
      <c r="D437" s="10" t="s">
        <v>71</v>
      </c>
      <c r="E437" s="11" t="s">
        <v>5</v>
      </c>
      <c r="F437" s="12" t="s">
        <v>591</v>
      </c>
      <c r="G437" s="17">
        <v>3.58</v>
      </c>
      <c r="H437" s="12" t="s">
        <v>58</v>
      </c>
      <c r="I437" s="14" t="s">
        <v>5</v>
      </c>
    </row>
    <row r="438" spans="2:9" ht="15.75">
      <c r="B438" s="37" t="s">
        <v>595</v>
      </c>
      <c r="C438" s="38">
        <v>3.22</v>
      </c>
      <c r="D438" s="10" t="s">
        <v>71</v>
      </c>
      <c r="E438" s="11" t="s">
        <v>5</v>
      </c>
      <c r="F438" s="12" t="s">
        <v>596</v>
      </c>
      <c r="G438" s="17">
        <v>3.58</v>
      </c>
      <c r="H438" s="12" t="s">
        <v>38</v>
      </c>
      <c r="I438" s="14" t="s">
        <v>5</v>
      </c>
    </row>
    <row r="439" spans="2:9" ht="15.75">
      <c r="B439" s="37" t="s">
        <v>439</v>
      </c>
      <c r="C439" s="38">
        <v>3.78</v>
      </c>
      <c r="D439" s="10" t="s">
        <v>71</v>
      </c>
      <c r="E439" s="11" t="s">
        <v>5</v>
      </c>
      <c r="F439" s="12" t="s">
        <v>597</v>
      </c>
      <c r="G439" s="17">
        <v>3.58</v>
      </c>
      <c r="H439" s="12" t="s">
        <v>38</v>
      </c>
      <c r="I439" s="14" t="s">
        <v>5</v>
      </c>
    </row>
    <row r="440" spans="2:9" ht="15.75">
      <c r="B440" s="37" t="s">
        <v>598</v>
      </c>
      <c r="C440" s="36">
        <v>3.44</v>
      </c>
      <c r="D440" s="10" t="s">
        <v>71</v>
      </c>
      <c r="E440" s="11" t="s">
        <v>39</v>
      </c>
      <c r="F440" s="12" t="s">
        <v>597</v>
      </c>
      <c r="G440" s="17">
        <v>3.58</v>
      </c>
      <c r="H440" s="12" t="s">
        <v>38</v>
      </c>
      <c r="I440" s="14" t="s">
        <v>5</v>
      </c>
    </row>
    <row r="441" spans="2:9" ht="15.75">
      <c r="B441" s="37" t="s">
        <v>599</v>
      </c>
      <c r="C441" s="38">
        <v>3.56</v>
      </c>
      <c r="D441" s="10" t="s">
        <v>71</v>
      </c>
      <c r="E441" s="11" t="s">
        <v>5</v>
      </c>
      <c r="F441" s="12" t="s">
        <v>591</v>
      </c>
      <c r="G441" s="13">
        <v>3.58</v>
      </c>
      <c r="H441" s="12" t="s">
        <v>38</v>
      </c>
      <c r="I441" s="14" t="s">
        <v>5</v>
      </c>
    </row>
    <row r="442" spans="2:9" ht="15.75">
      <c r="B442" s="37" t="s">
        <v>600</v>
      </c>
      <c r="C442" s="36">
        <v>3.39</v>
      </c>
      <c r="D442" s="10" t="s">
        <v>71</v>
      </c>
      <c r="E442" s="11" t="s">
        <v>5</v>
      </c>
      <c r="F442" s="12" t="s">
        <v>601</v>
      </c>
      <c r="G442" s="13">
        <v>3.58</v>
      </c>
      <c r="H442" s="12" t="s">
        <v>38</v>
      </c>
      <c r="I442" s="14" t="s">
        <v>5</v>
      </c>
    </row>
    <row r="443" spans="2:9" ht="15.75">
      <c r="B443" s="37" t="s">
        <v>602</v>
      </c>
      <c r="C443" s="38">
        <v>3.33</v>
      </c>
      <c r="D443" s="10" t="s">
        <v>71</v>
      </c>
      <c r="E443" s="11" t="s">
        <v>5</v>
      </c>
      <c r="F443" s="12" t="s">
        <v>591</v>
      </c>
      <c r="G443" s="13">
        <v>3.58</v>
      </c>
      <c r="H443" s="12" t="s">
        <v>102</v>
      </c>
      <c r="I443" s="14" t="s">
        <v>5</v>
      </c>
    </row>
    <row r="444" spans="2:9" ht="15.75">
      <c r="B444" s="37" t="s">
        <v>603</v>
      </c>
      <c r="C444" s="38">
        <v>3.39</v>
      </c>
      <c r="D444" s="10" t="s">
        <v>71</v>
      </c>
      <c r="E444" s="11" t="s">
        <v>5</v>
      </c>
      <c r="F444" s="12" t="s">
        <v>604</v>
      </c>
      <c r="G444" s="13">
        <v>3.58</v>
      </c>
      <c r="H444" s="12" t="s">
        <v>30</v>
      </c>
      <c r="I444" s="14" t="s">
        <v>5</v>
      </c>
    </row>
    <row r="445" spans="2:9" ht="15.75">
      <c r="B445" s="37" t="s">
        <v>605</v>
      </c>
      <c r="C445" s="38">
        <v>3.15</v>
      </c>
      <c r="D445" s="10" t="s">
        <v>71</v>
      </c>
      <c r="E445" s="11" t="s">
        <v>5</v>
      </c>
      <c r="F445" s="12" t="s">
        <v>230</v>
      </c>
      <c r="G445" s="13">
        <v>3.58</v>
      </c>
      <c r="H445" s="12" t="s">
        <v>30</v>
      </c>
      <c r="I445" s="14" t="s">
        <v>5</v>
      </c>
    </row>
    <row r="446" spans="2:9" ht="15.75">
      <c r="B446" s="35" t="s">
        <v>253</v>
      </c>
      <c r="C446" s="24">
        <v>3.2</v>
      </c>
      <c r="D446" s="10" t="s">
        <v>58</v>
      </c>
      <c r="E446" s="11" t="s">
        <v>5</v>
      </c>
      <c r="F446" s="12" t="s">
        <v>606</v>
      </c>
      <c r="G446" s="13">
        <v>3.58</v>
      </c>
      <c r="H446" s="12" t="s">
        <v>58</v>
      </c>
      <c r="I446" s="14" t="s">
        <v>5</v>
      </c>
    </row>
    <row r="447" spans="2:9" ht="15.75">
      <c r="B447" s="35" t="s">
        <v>557</v>
      </c>
      <c r="C447" s="24">
        <v>3.63</v>
      </c>
      <c r="D447" s="10" t="s">
        <v>58</v>
      </c>
      <c r="E447" s="11" t="s">
        <v>5</v>
      </c>
      <c r="F447" s="12" t="s">
        <v>607</v>
      </c>
      <c r="G447" s="13">
        <v>3.58</v>
      </c>
      <c r="H447" s="12" t="s">
        <v>11</v>
      </c>
      <c r="I447" s="14" t="s">
        <v>35</v>
      </c>
    </row>
    <row r="448" spans="2:9" ht="15.75">
      <c r="B448" s="40" t="s">
        <v>457</v>
      </c>
      <c r="C448" s="36">
        <v>3.44</v>
      </c>
      <c r="D448" s="10" t="s">
        <v>58</v>
      </c>
      <c r="E448" s="11" t="s">
        <v>5</v>
      </c>
      <c r="F448" s="12" t="s">
        <v>606</v>
      </c>
      <c r="G448" s="13">
        <v>3.58</v>
      </c>
      <c r="H448" s="12" t="s">
        <v>30</v>
      </c>
      <c r="I448" s="14" t="s">
        <v>5</v>
      </c>
    </row>
    <row r="449" spans="2:9" ht="15.75">
      <c r="B449" s="35" t="s">
        <v>461</v>
      </c>
      <c r="C449" s="34">
        <v>3.16</v>
      </c>
      <c r="D449" s="10" t="s">
        <v>58</v>
      </c>
      <c r="E449" s="11" t="s">
        <v>5</v>
      </c>
      <c r="F449" s="12" t="s">
        <v>532</v>
      </c>
      <c r="G449" s="17">
        <v>3.57</v>
      </c>
      <c r="H449" s="12" t="s">
        <v>71</v>
      </c>
      <c r="I449" s="14" t="s">
        <v>5</v>
      </c>
    </row>
    <row r="450" spans="2:9" ht="15.75">
      <c r="B450" s="42" t="s">
        <v>280</v>
      </c>
      <c r="C450" s="36">
        <v>3.16</v>
      </c>
      <c r="D450" s="10" t="s">
        <v>58</v>
      </c>
      <c r="E450" s="11" t="s">
        <v>5</v>
      </c>
      <c r="F450" s="12" t="s">
        <v>534</v>
      </c>
      <c r="G450" s="12">
        <v>3.57</v>
      </c>
      <c r="H450" s="12" t="s">
        <v>71</v>
      </c>
      <c r="I450" s="14" t="s">
        <v>5</v>
      </c>
    </row>
    <row r="451" spans="2:9" ht="15.75">
      <c r="B451" s="42" t="s">
        <v>481</v>
      </c>
      <c r="C451" s="38">
        <v>3.44</v>
      </c>
      <c r="D451" s="10" t="s">
        <v>58</v>
      </c>
      <c r="E451" s="11" t="s">
        <v>35</v>
      </c>
      <c r="F451" s="12" t="s">
        <v>512</v>
      </c>
      <c r="G451" s="17">
        <v>3.57</v>
      </c>
      <c r="H451" s="12" t="s">
        <v>58</v>
      </c>
      <c r="I451" s="14" t="s">
        <v>5</v>
      </c>
    </row>
    <row r="452" spans="2:9" ht="15.75">
      <c r="B452" s="42" t="s">
        <v>298</v>
      </c>
      <c r="C452" s="36">
        <v>3.28</v>
      </c>
      <c r="D452" s="10" t="s">
        <v>58</v>
      </c>
      <c r="E452" s="11" t="s">
        <v>5</v>
      </c>
      <c r="F452" s="12" t="s">
        <v>534</v>
      </c>
      <c r="G452" s="13">
        <v>3.57</v>
      </c>
      <c r="H452" s="12" t="s">
        <v>11</v>
      </c>
      <c r="I452" s="14" t="s">
        <v>5</v>
      </c>
    </row>
    <row r="453" spans="2:9" ht="15.75">
      <c r="B453" s="43" t="s">
        <v>476</v>
      </c>
      <c r="C453" s="38">
        <v>3.27</v>
      </c>
      <c r="D453" s="10" t="s">
        <v>58</v>
      </c>
      <c r="E453" s="11" t="s">
        <v>5</v>
      </c>
      <c r="F453" s="12" t="s">
        <v>608</v>
      </c>
      <c r="G453" s="13">
        <v>3.57</v>
      </c>
      <c r="H453" s="12" t="s">
        <v>11</v>
      </c>
      <c r="I453" s="14" t="s">
        <v>35</v>
      </c>
    </row>
    <row r="454" spans="2:9" ht="15.75">
      <c r="B454" s="37" t="s">
        <v>253</v>
      </c>
      <c r="C454" s="38">
        <v>3.2</v>
      </c>
      <c r="D454" s="10" t="s">
        <v>58</v>
      </c>
      <c r="E454" s="11" t="s">
        <v>5</v>
      </c>
      <c r="F454" s="12" t="s">
        <v>305</v>
      </c>
      <c r="G454" s="12">
        <v>3.56</v>
      </c>
      <c r="H454" s="12" t="s">
        <v>48</v>
      </c>
      <c r="I454" s="14" t="s">
        <v>5</v>
      </c>
    </row>
    <row r="455" spans="2:9" ht="15.75">
      <c r="B455" s="37" t="s">
        <v>558</v>
      </c>
      <c r="C455" s="38">
        <v>3.63</v>
      </c>
      <c r="D455" s="10" t="s">
        <v>58</v>
      </c>
      <c r="E455" s="11" t="s">
        <v>5</v>
      </c>
      <c r="F455" s="12" t="s">
        <v>412</v>
      </c>
      <c r="G455" s="17">
        <v>3.56</v>
      </c>
      <c r="H455" s="12" t="s">
        <v>48</v>
      </c>
      <c r="I455" s="14" t="s">
        <v>5</v>
      </c>
    </row>
    <row r="456" spans="2:9" ht="15.75">
      <c r="B456" s="37" t="s">
        <v>609</v>
      </c>
      <c r="C456" s="38">
        <v>3.44</v>
      </c>
      <c r="D456" s="10" t="s">
        <v>58</v>
      </c>
      <c r="E456" s="11" t="s">
        <v>5</v>
      </c>
      <c r="F456" s="12" t="s">
        <v>465</v>
      </c>
      <c r="G456" s="12">
        <v>3.56</v>
      </c>
      <c r="H456" s="12" t="s">
        <v>71</v>
      </c>
      <c r="I456" s="14" t="s">
        <v>5</v>
      </c>
    </row>
    <row r="457" spans="2:9" ht="15.75">
      <c r="B457" s="37" t="s">
        <v>610</v>
      </c>
      <c r="C457" s="38">
        <v>3.16</v>
      </c>
      <c r="D457" s="10" t="s">
        <v>58</v>
      </c>
      <c r="E457" s="11" t="s">
        <v>5</v>
      </c>
      <c r="F457" s="12" t="s">
        <v>559</v>
      </c>
      <c r="G457" s="17">
        <v>3.56</v>
      </c>
      <c r="H457" s="12" t="s">
        <v>71</v>
      </c>
      <c r="I457" s="14" t="s">
        <v>5</v>
      </c>
    </row>
    <row r="458" spans="2:9" ht="15.75">
      <c r="B458" s="37" t="s">
        <v>280</v>
      </c>
      <c r="C458" s="36">
        <v>3.16</v>
      </c>
      <c r="D458" s="10" t="s">
        <v>58</v>
      </c>
      <c r="E458" s="11" t="s">
        <v>5</v>
      </c>
      <c r="F458" s="12" t="s">
        <v>599</v>
      </c>
      <c r="G458" s="12">
        <v>3.56</v>
      </c>
      <c r="H458" s="12" t="s">
        <v>71</v>
      </c>
      <c r="I458" s="14" t="s">
        <v>5</v>
      </c>
    </row>
    <row r="459" spans="2:9" ht="15.75">
      <c r="B459" s="37"/>
      <c r="C459" s="38"/>
      <c r="D459" s="10" t="s">
        <v>58</v>
      </c>
      <c r="E459" s="11" t="s">
        <v>5</v>
      </c>
      <c r="F459" s="12" t="s">
        <v>599</v>
      </c>
      <c r="G459" s="17">
        <v>3.56</v>
      </c>
      <c r="H459" s="12" t="s">
        <v>58</v>
      </c>
      <c r="I459" s="14" t="s">
        <v>5</v>
      </c>
    </row>
    <row r="460" spans="2:9" ht="15.75">
      <c r="B460" s="37" t="s">
        <v>154</v>
      </c>
      <c r="C460" s="38">
        <v>4.2</v>
      </c>
      <c r="D460" s="10" t="s">
        <v>58</v>
      </c>
      <c r="E460" s="11" t="s">
        <v>39</v>
      </c>
      <c r="F460" s="12" t="s">
        <v>412</v>
      </c>
      <c r="G460" s="13">
        <v>3.56</v>
      </c>
      <c r="H460" s="12" t="s">
        <v>38</v>
      </c>
      <c r="I460" s="14" t="s">
        <v>5</v>
      </c>
    </row>
    <row r="461" spans="2:9" ht="15.75">
      <c r="B461" s="37" t="s">
        <v>611</v>
      </c>
      <c r="C461" s="36">
        <v>3.5</v>
      </c>
      <c r="D461" s="10" t="s">
        <v>58</v>
      </c>
      <c r="E461" s="11" t="s">
        <v>5</v>
      </c>
      <c r="F461" s="12" t="s">
        <v>612</v>
      </c>
      <c r="G461" s="13">
        <v>3.56</v>
      </c>
      <c r="H461" s="12" t="s">
        <v>102</v>
      </c>
      <c r="I461" s="14" t="s">
        <v>5</v>
      </c>
    </row>
    <row r="462" spans="2:9" ht="15.75">
      <c r="B462" s="37" t="s">
        <v>490</v>
      </c>
      <c r="C462" s="38">
        <v>3.2</v>
      </c>
      <c r="D462" s="10" t="s">
        <v>58</v>
      </c>
      <c r="E462" s="11" t="s">
        <v>35</v>
      </c>
      <c r="F462" s="12" t="s">
        <v>599</v>
      </c>
      <c r="G462" s="13">
        <v>3.56</v>
      </c>
      <c r="H462" s="12" t="s">
        <v>11</v>
      </c>
      <c r="I462" s="14" t="s">
        <v>5</v>
      </c>
    </row>
    <row r="463" spans="2:9" ht="15.75">
      <c r="B463" s="37" t="s">
        <v>613</v>
      </c>
      <c r="C463" s="38">
        <v>3.26</v>
      </c>
      <c r="D463" s="10" t="s">
        <v>58</v>
      </c>
      <c r="E463" s="11" t="s">
        <v>5</v>
      </c>
      <c r="F463" s="12" t="s">
        <v>614</v>
      </c>
      <c r="G463" s="13">
        <v>3.56</v>
      </c>
      <c r="H463" s="12" t="s">
        <v>30</v>
      </c>
      <c r="I463" s="14" t="s">
        <v>5</v>
      </c>
    </row>
    <row r="464" spans="2:9" ht="15.75">
      <c r="B464" s="37" t="s">
        <v>615</v>
      </c>
      <c r="C464" s="38">
        <v>3.17</v>
      </c>
      <c r="D464" s="10" t="s">
        <v>58</v>
      </c>
      <c r="E464" s="11" t="s">
        <v>35</v>
      </c>
      <c r="F464" s="12" t="s">
        <v>120</v>
      </c>
      <c r="G464" s="12">
        <v>3.55</v>
      </c>
      <c r="H464" s="12" t="s">
        <v>4</v>
      </c>
      <c r="I464" s="14" t="s">
        <v>5</v>
      </c>
    </row>
    <row r="465" spans="1:9" ht="15.75">
      <c r="B465" s="37" t="s">
        <v>440</v>
      </c>
      <c r="C465" s="36">
        <v>3.77</v>
      </c>
      <c r="D465" s="10" t="s">
        <v>58</v>
      </c>
      <c r="E465" s="11" t="s">
        <v>5</v>
      </c>
      <c r="F465" s="12" t="s">
        <v>143</v>
      </c>
      <c r="G465" s="17">
        <v>3.55</v>
      </c>
      <c r="H465" s="12" t="s">
        <v>4</v>
      </c>
      <c r="I465" s="14" t="s">
        <v>5</v>
      </c>
    </row>
    <row r="466" spans="1:9" ht="15.75">
      <c r="B466" s="37" t="s">
        <v>616</v>
      </c>
      <c r="C466" s="38">
        <v>3.05</v>
      </c>
      <c r="D466" s="10" t="s">
        <v>58</v>
      </c>
      <c r="E466" s="11" t="s">
        <v>5</v>
      </c>
      <c r="F466" s="12" t="s">
        <v>160</v>
      </c>
      <c r="G466" s="12">
        <v>3.55</v>
      </c>
      <c r="H466" s="12" t="s">
        <v>4</v>
      </c>
      <c r="I466" s="14" t="s">
        <v>5</v>
      </c>
    </row>
    <row r="467" spans="1:9" ht="15.75">
      <c r="B467" s="37" t="s">
        <v>298</v>
      </c>
      <c r="C467" s="36">
        <v>3.28</v>
      </c>
      <c r="D467" s="10" t="s">
        <v>58</v>
      </c>
      <c r="E467" s="11" t="s">
        <v>5</v>
      </c>
      <c r="F467" s="12" t="s">
        <v>167</v>
      </c>
      <c r="G467" s="12">
        <v>3.55</v>
      </c>
      <c r="H467" s="12" t="s">
        <v>4</v>
      </c>
      <c r="I467" s="14" t="s">
        <v>5</v>
      </c>
    </row>
    <row r="468" spans="1:9" ht="15.75">
      <c r="B468" s="37" t="s">
        <v>165</v>
      </c>
      <c r="C468" s="38">
        <v>3.42</v>
      </c>
      <c r="D468" s="10" t="s">
        <v>58</v>
      </c>
      <c r="E468" s="11" t="s">
        <v>5</v>
      </c>
      <c r="F468" s="12" t="s">
        <v>310</v>
      </c>
      <c r="G468" s="17">
        <v>3.55</v>
      </c>
      <c r="H468" s="12" t="s">
        <v>48</v>
      </c>
      <c r="I468" s="14" t="s">
        <v>5</v>
      </c>
    </row>
    <row r="469" spans="1:9" ht="15.75">
      <c r="B469" s="37" t="s">
        <v>501</v>
      </c>
      <c r="C469" s="36">
        <v>3.26</v>
      </c>
      <c r="D469" s="10" t="s">
        <v>58</v>
      </c>
      <c r="E469" s="11" t="s">
        <v>5</v>
      </c>
      <c r="F469" s="12" t="s">
        <v>351</v>
      </c>
      <c r="G469" s="17">
        <v>3.55</v>
      </c>
      <c r="H469" s="12" t="s">
        <v>48</v>
      </c>
      <c r="I469" s="14" t="s">
        <v>5</v>
      </c>
    </row>
    <row r="470" spans="1:9" ht="15.75">
      <c r="B470" s="37" t="s">
        <v>505</v>
      </c>
      <c r="C470" s="36">
        <v>3.38</v>
      </c>
      <c r="D470" s="10" t="s">
        <v>58</v>
      </c>
      <c r="E470" s="11" t="s">
        <v>5</v>
      </c>
      <c r="F470" s="12" t="s">
        <v>393</v>
      </c>
      <c r="G470" s="17">
        <v>3.55</v>
      </c>
      <c r="H470" s="12" t="s">
        <v>48</v>
      </c>
      <c r="I470" s="14" t="s">
        <v>5</v>
      </c>
    </row>
    <row r="471" spans="1:9" ht="15.75">
      <c r="A471" s="44"/>
      <c r="B471" s="37" t="s">
        <v>152</v>
      </c>
      <c r="C471" s="36">
        <v>4.2</v>
      </c>
      <c r="D471" s="10" t="s">
        <v>58</v>
      </c>
      <c r="E471" s="11" t="s">
        <v>5</v>
      </c>
      <c r="F471" s="12" t="s">
        <v>420</v>
      </c>
      <c r="G471" s="12">
        <v>3.55</v>
      </c>
      <c r="H471" s="12" t="s">
        <v>71</v>
      </c>
      <c r="I471" s="14" t="s">
        <v>5</v>
      </c>
    </row>
    <row r="472" spans="1:9" ht="15.75">
      <c r="B472" s="37" t="s">
        <v>511</v>
      </c>
      <c r="C472" s="36">
        <v>3.36</v>
      </c>
      <c r="D472" s="10" t="s">
        <v>58</v>
      </c>
      <c r="E472" s="11" t="s">
        <v>5</v>
      </c>
      <c r="F472" s="12" t="s">
        <v>589</v>
      </c>
      <c r="G472" s="17">
        <v>3.55</v>
      </c>
      <c r="H472" s="12" t="s">
        <v>71</v>
      </c>
      <c r="I472" s="14" t="s">
        <v>5</v>
      </c>
    </row>
    <row r="473" spans="1:9" ht="15.75">
      <c r="B473" s="37" t="s">
        <v>512</v>
      </c>
      <c r="C473" s="36">
        <v>3.15</v>
      </c>
      <c r="D473" s="10" t="s">
        <v>58</v>
      </c>
      <c r="E473" s="11" t="s">
        <v>5</v>
      </c>
      <c r="F473" s="12" t="s">
        <v>617</v>
      </c>
      <c r="G473" s="17">
        <v>3.55</v>
      </c>
      <c r="H473" s="12" t="s">
        <v>38</v>
      </c>
      <c r="I473" s="14" t="s">
        <v>5</v>
      </c>
    </row>
    <row r="474" spans="1:9" ht="15.75">
      <c r="B474" s="37" t="s">
        <v>618</v>
      </c>
      <c r="C474" s="36">
        <v>3.44</v>
      </c>
      <c r="D474" s="10" t="s">
        <v>58</v>
      </c>
      <c r="E474" s="11" t="s">
        <v>5</v>
      </c>
      <c r="F474" s="12" t="s">
        <v>619</v>
      </c>
      <c r="G474" s="13">
        <v>3.55</v>
      </c>
      <c r="H474" s="12" t="s">
        <v>102</v>
      </c>
      <c r="I474" s="14" t="s">
        <v>5</v>
      </c>
    </row>
    <row r="475" spans="1:9" ht="15.75">
      <c r="B475" s="37" t="s">
        <v>157</v>
      </c>
      <c r="C475" s="38">
        <v>4.2</v>
      </c>
      <c r="D475" s="10" t="s">
        <v>58</v>
      </c>
      <c r="E475" s="11" t="s">
        <v>5</v>
      </c>
      <c r="F475" s="12" t="s">
        <v>393</v>
      </c>
      <c r="G475" s="13">
        <v>3.55</v>
      </c>
      <c r="H475" s="12" t="s">
        <v>11</v>
      </c>
      <c r="I475" s="14" t="s">
        <v>35</v>
      </c>
    </row>
    <row r="476" spans="1:9" ht="15.75">
      <c r="B476" s="37" t="s">
        <v>514</v>
      </c>
      <c r="C476" s="36">
        <v>3.23</v>
      </c>
      <c r="D476" s="10" t="s">
        <v>58</v>
      </c>
      <c r="E476" s="11" t="s">
        <v>5</v>
      </c>
      <c r="F476" s="12" t="s">
        <v>143</v>
      </c>
      <c r="G476" s="13">
        <v>3.55</v>
      </c>
      <c r="H476" s="12" t="s">
        <v>30</v>
      </c>
      <c r="I476" s="14" t="s">
        <v>5</v>
      </c>
    </row>
    <row r="477" spans="1:9" ht="15.75">
      <c r="B477" s="37" t="s">
        <v>524</v>
      </c>
      <c r="C477" s="36">
        <v>3.66</v>
      </c>
      <c r="D477" s="10" t="s">
        <v>58</v>
      </c>
      <c r="E477" s="11" t="s">
        <v>35</v>
      </c>
      <c r="F477" s="12" t="s">
        <v>620</v>
      </c>
      <c r="G477" s="13">
        <v>3.55</v>
      </c>
      <c r="H477" s="12" t="s">
        <v>30</v>
      </c>
      <c r="I477" s="14" t="s">
        <v>35</v>
      </c>
    </row>
    <row r="478" spans="1:9" ht="15.75">
      <c r="B478" s="37" t="s">
        <v>621</v>
      </c>
      <c r="C478" s="36">
        <v>3.36</v>
      </c>
      <c r="D478" s="10" t="s">
        <v>58</v>
      </c>
      <c r="E478" s="11" t="s">
        <v>35</v>
      </c>
      <c r="F478" s="12" t="s">
        <v>228</v>
      </c>
      <c r="G478" s="12">
        <v>3.53</v>
      </c>
      <c r="H478" s="12" t="s">
        <v>4</v>
      </c>
      <c r="I478" s="14" t="s">
        <v>5</v>
      </c>
    </row>
    <row r="479" spans="1:9" ht="15.75">
      <c r="B479" s="37" t="s">
        <v>518</v>
      </c>
      <c r="C479" s="36">
        <v>3.52</v>
      </c>
      <c r="D479" s="10" t="s">
        <v>58</v>
      </c>
      <c r="E479" s="11" t="s">
        <v>5</v>
      </c>
      <c r="F479" s="12" t="s">
        <v>242</v>
      </c>
      <c r="G479" s="12">
        <v>3.53</v>
      </c>
      <c r="H479" s="12" t="s">
        <v>4</v>
      </c>
      <c r="I479" s="14" t="s">
        <v>5</v>
      </c>
    </row>
    <row r="480" spans="1:9" ht="15.75">
      <c r="B480" s="37" t="s">
        <v>229</v>
      </c>
      <c r="C480" s="38">
        <v>4.05</v>
      </c>
      <c r="D480" s="10" t="s">
        <v>58</v>
      </c>
      <c r="E480" s="11" t="s">
        <v>5</v>
      </c>
      <c r="F480" s="12" t="s">
        <v>250</v>
      </c>
      <c r="G480" s="12">
        <v>3.53</v>
      </c>
      <c r="H480" s="12" t="s">
        <v>48</v>
      </c>
      <c r="I480" s="14" t="s">
        <v>5</v>
      </c>
    </row>
    <row r="481" spans="2:9" ht="15.75">
      <c r="B481" s="40" t="s">
        <v>593</v>
      </c>
      <c r="C481" s="36">
        <v>3.58</v>
      </c>
      <c r="D481" s="10" t="s">
        <v>58</v>
      </c>
      <c r="E481" s="11" t="s">
        <v>39</v>
      </c>
      <c r="F481" s="12" t="s">
        <v>401</v>
      </c>
      <c r="G481" s="12">
        <v>3.53</v>
      </c>
      <c r="H481" s="12" t="s">
        <v>48</v>
      </c>
      <c r="I481" s="14" t="s">
        <v>35</v>
      </c>
    </row>
    <row r="482" spans="2:9" ht="15.75">
      <c r="B482" s="40" t="s">
        <v>525</v>
      </c>
      <c r="C482" s="36">
        <v>3.31</v>
      </c>
      <c r="D482" s="10" t="s">
        <v>58</v>
      </c>
      <c r="E482" s="11" t="s">
        <v>5</v>
      </c>
      <c r="F482" s="12" t="s">
        <v>413</v>
      </c>
      <c r="G482" s="12">
        <v>3.53</v>
      </c>
      <c r="H482" s="12" t="s">
        <v>48</v>
      </c>
      <c r="I482" s="14" t="s">
        <v>5</v>
      </c>
    </row>
    <row r="483" spans="2:9" ht="15.75">
      <c r="B483" s="40" t="s">
        <v>527</v>
      </c>
      <c r="C483" s="36">
        <v>3.21</v>
      </c>
      <c r="D483" s="10" t="s">
        <v>58</v>
      </c>
      <c r="E483" s="11" t="s">
        <v>5</v>
      </c>
      <c r="F483" s="12" t="s">
        <v>436</v>
      </c>
      <c r="G483" s="17">
        <v>3.53</v>
      </c>
      <c r="H483" s="12" t="s">
        <v>48</v>
      </c>
      <c r="I483" s="14" t="s">
        <v>5</v>
      </c>
    </row>
    <row r="484" spans="2:9" ht="15.75">
      <c r="B484" s="40" t="s">
        <v>529</v>
      </c>
      <c r="C484" s="36">
        <v>3.27</v>
      </c>
      <c r="D484" s="10" t="s">
        <v>58</v>
      </c>
      <c r="E484" s="11" t="s">
        <v>5</v>
      </c>
      <c r="F484" s="12" t="s">
        <v>449</v>
      </c>
      <c r="G484" s="12">
        <v>3.53</v>
      </c>
      <c r="H484" s="12" t="s">
        <v>71</v>
      </c>
      <c r="I484" s="14" t="s">
        <v>5</v>
      </c>
    </row>
    <row r="485" spans="2:9" ht="15.75">
      <c r="B485" s="40" t="s">
        <v>483</v>
      </c>
      <c r="C485" s="36">
        <v>3.73</v>
      </c>
      <c r="D485" s="10" t="s">
        <v>58</v>
      </c>
      <c r="E485" s="11" t="s">
        <v>5</v>
      </c>
      <c r="F485" s="12" t="s">
        <v>523</v>
      </c>
      <c r="G485" s="17">
        <v>3.53</v>
      </c>
      <c r="H485" s="12" t="s">
        <v>71</v>
      </c>
      <c r="I485" s="14" t="s">
        <v>5</v>
      </c>
    </row>
    <row r="486" spans="2:9" ht="15.75">
      <c r="B486" s="40" t="s">
        <v>535</v>
      </c>
      <c r="C486" s="36">
        <v>3.22</v>
      </c>
      <c r="D486" s="10" t="s">
        <v>58</v>
      </c>
      <c r="E486" s="11" t="s">
        <v>5</v>
      </c>
      <c r="F486" s="12" t="s">
        <v>413</v>
      </c>
      <c r="G486" s="17">
        <v>3.53</v>
      </c>
      <c r="H486" s="12" t="s">
        <v>58</v>
      </c>
      <c r="I486" s="14" t="s">
        <v>5</v>
      </c>
    </row>
    <row r="487" spans="2:9" ht="15.75">
      <c r="B487" s="40" t="s">
        <v>622</v>
      </c>
      <c r="C487" s="36">
        <v>3.36</v>
      </c>
      <c r="D487" s="10" t="s">
        <v>58</v>
      </c>
      <c r="E487" s="11" t="s">
        <v>39</v>
      </c>
      <c r="F487" s="12" t="s">
        <v>623</v>
      </c>
      <c r="G487" s="17">
        <v>3.53</v>
      </c>
      <c r="H487" s="12" t="s">
        <v>58</v>
      </c>
      <c r="I487" s="14" t="s">
        <v>5</v>
      </c>
    </row>
    <row r="488" spans="2:9" ht="15.75">
      <c r="B488" s="37" t="s">
        <v>512</v>
      </c>
      <c r="C488" s="36">
        <v>3.57</v>
      </c>
      <c r="D488" s="10" t="s">
        <v>58</v>
      </c>
      <c r="E488" s="11" t="s">
        <v>5</v>
      </c>
      <c r="F488" s="12" t="s">
        <v>250</v>
      </c>
      <c r="G488" s="17">
        <v>3.53</v>
      </c>
      <c r="H488" s="12" t="s">
        <v>38</v>
      </c>
      <c r="I488" s="14" t="s">
        <v>5</v>
      </c>
    </row>
    <row r="489" spans="2:9" ht="15.75">
      <c r="B489" s="40" t="s">
        <v>231</v>
      </c>
      <c r="C489" s="36">
        <v>4.05</v>
      </c>
      <c r="D489" s="10" t="s">
        <v>58</v>
      </c>
      <c r="E489" s="11" t="s">
        <v>35</v>
      </c>
      <c r="F489" s="12" t="s">
        <v>624</v>
      </c>
      <c r="G489" s="13">
        <v>3.53</v>
      </c>
      <c r="H489" s="12" t="s">
        <v>38</v>
      </c>
      <c r="I489" s="14" t="s">
        <v>5</v>
      </c>
    </row>
    <row r="490" spans="2:9" ht="15.75">
      <c r="B490" s="37" t="s">
        <v>95</v>
      </c>
      <c r="C490" s="36">
        <v>4.3600000000000003</v>
      </c>
      <c r="D490" s="10" t="s">
        <v>58</v>
      </c>
      <c r="E490" s="11" t="s">
        <v>5</v>
      </c>
      <c r="F490" s="12" t="s">
        <v>625</v>
      </c>
      <c r="G490" s="13">
        <v>3.53</v>
      </c>
      <c r="H490" s="12" t="s">
        <v>38</v>
      </c>
      <c r="I490" s="14" t="s">
        <v>5</v>
      </c>
    </row>
    <row r="491" spans="2:9" ht="15.75">
      <c r="B491" s="37" t="s">
        <v>626</v>
      </c>
      <c r="C491" s="36">
        <v>3.33</v>
      </c>
      <c r="D491" s="10" t="s">
        <v>58</v>
      </c>
      <c r="E491" s="11" t="s">
        <v>35</v>
      </c>
      <c r="F491" s="12" t="s">
        <v>627</v>
      </c>
      <c r="G491" s="13">
        <v>3.53</v>
      </c>
      <c r="H491" s="12" t="s">
        <v>38</v>
      </c>
      <c r="I491" s="14" t="s">
        <v>5</v>
      </c>
    </row>
    <row r="492" spans="2:9" ht="15.75">
      <c r="B492" s="37" t="s">
        <v>466</v>
      </c>
      <c r="C492" s="36">
        <v>3.76</v>
      </c>
      <c r="D492" s="10" t="s">
        <v>58</v>
      </c>
      <c r="E492" s="11" t="s">
        <v>5</v>
      </c>
      <c r="F492" s="12" t="s">
        <v>523</v>
      </c>
      <c r="G492" s="13">
        <v>3.53</v>
      </c>
      <c r="H492" s="12" t="s">
        <v>102</v>
      </c>
      <c r="I492" s="14" t="s">
        <v>5</v>
      </c>
    </row>
    <row r="493" spans="2:9" ht="15.75">
      <c r="B493" s="37" t="s">
        <v>329</v>
      </c>
      <c r="C493" s="36">
        <v>3.89</v>
      </c>
      <c r="D493" s="10" t="s">
        <v>58</v>
      </c>
      <c r="E493" s="11" t="s">
        <v>5</v>
      </c>
      <c r="F493" s="12" t="s">
        <v>623</v>
      </c>
      <c r="G493" s="13">
        <v>3.53</v>
      </c>
      <c r="H493" s="12" t="s">
        <v>102</v>
      </c>
      <c r="I493" s="14" t="s">
        <v>5</v>
      </c>
    </row>
    <row r="494" spans="2:9" ht="15.75">
      <c r="B494" s="37" t="s">
        <v>390</v>
      </c>
      <c r="C494" s="36">
        <v>3.84</v>
      </c>
      <c r="D494" s="10" t="s">
        <v>58</v>
      </c>
      <c r="E494" s="11" t="s">
        <v>35</v>
      </c>
      <c r="F494" s="12" t="s">
        <v>449</v>
      </c>
      <c r="G494" s="13">
        <v>3.53</v>
      </c>
      <c r="H494" s="12" t="s">
        <v>11</v>
      </c>
      <c r="I494" s="14" t="s">
        <v>5</v>
      </c>
    </row>
    <row r="495" spans="2:9" ht="15.75">
      <c r="B495" s="37" t="s">
        <v>554</v>
      </c>
      <c r="C495" s="36">
        <v>3.3</v>
      </c>
      <c r="D495" s="10" t="s">
        <v>58</v>
      </c>
      <c r="E495" s="11" t="s">
        <v>5</v>
      </c>
      <c r="F495" s="12" t="s">
        <v>628</v>
      </c>
      <c r="G495" s="13">
        <v>3.53</v>
      </c>
      <c r="H495" s="12" t="s">
        <v>30</v>
      </c>
      <c r="I495" s="14" t="s">
        <v>5</v>
      </c>
    </row>
    <row r="496" spans="2:9" ht="15.75">
      <c r="B496" s="37" t="s">
        <v>260</v>
      </c>
      <c r="C496" s="36">
        <v>4</v>
      </c>
      <c r="D496" s="10" t="s">
        <v>58</v>
      </c>
      <c r="E496" s="11" t="s">
        <v>5</v>
      </c>
      <c r="F496" s="12" t="s">
        <v>629</v>
      </c>
      <c r="G496" s="13">
        <v>3.53</v>
      </c>
      <c r="H496" s="12" t="s">
        <v>71</v>
      </c>
      <c r="I496" s="14" t="s">
        <v>5</v>
      </c>
    </row>
    <row r="497" spans="2:9" ht="15.75">
      <c r="B497" s="37" t="s">
        <v>618</v>
      </c>
      <c r="C497" s="36">
        <v>3.44</v>
      </c>
      <c r="D497" s="10" t="s">
        <v>58</v>
      </c>
      <c r="E497" s="11" t="s">
        <v>5</v>
      </c>
      <c r="F497" s="12" t="s">
        <v>630</v>
      </c>
      <c r="G497" s="13">
        <v>3.53</v>
      </c>
      <c r="H497" s="12" t="s">
        <v>38</v>
      </c>
      <c r="I497" s="14" t="s">
        <v>35</v>
      </c>
    </row>
    <row r="498" spans="2:9" ht="15.75">
      <c r="B498" s="37" t="s">
        <v>578</v>
      </c>
      <c r="C498" s="36">
        <v>3.61</v>
      </c>
      <c r="D498" s="10" t="s">
        <v>58</v>
      </c>
      <c r="E498" s="11" t="s">
        <v>39</v>
      </c>
      <c r="F498" s="12" t="s">
        <v>630</v>
      </c>
      <c r="G498" s="13">
        <v>3.53</v>
      </c>
      <c r="H498" s="12" t="s">
        <v>48</v>
      </c>
      <c r="I498" s="14" t="s">
        <v>35</v>
      </c>
    </row>
    <row r="499" spans="2:9" ht="15.75">
      <c r="B499" s="37" t="s">
        <v>551</v>
      </c>
      <c r="C499" s="36">
        <v>3.63</v>
      </c>
      <c r="D499" s="10" t="s">
        <v>58</v>
      </c>
      <c r="E499" s="11" t="s">
        <v>5</v>
      </c>
      <c r="F499" s="12" t="s">
        <v>631</v>
      </c>
      <c r="G499" s="13">
        <v>3.53</v>
      </c>
      <c r="H499" s="12" t="s">
        <v>38</v>
      </c>
      <c r="I499" s="14" t="s">
        <v>35</v>
      </c>
    </row>
    <row r="500" spans="2:9" ht="15.75">
      <c r="B500" s="37" t="s">
        <v>413</v>
      </c>
      <c r="C500" s="36">
        <v>3.53</v>
      </c>
      <c r="D500" s="10" t="s">
        <v>58</v>
      </c>
      <c r="E500" s="11" t="s">
        <v>5</v>
      </c>
      <c r="F500" s="12" t="s">
        <v>149</v>
      </c>
      <c r="G500" s="17">
        <v>3.52</v>
      </c>
      <c r="H500" s="12" t="s">
        <v>4</v>
      </c>
      <c r="I500" s="14" t="s">
        <v>5</v>
      </c>
    </row>
    <row r="501" spans="2:9" ht="15.75">
      <c r="B501" s="37" t="s">
        <v>572</v>
      </c>
      <c r="C501" s="36">
        <v>3.21</v>
      </c>
      <c r="D501" s="10" t="s">
        <v>58</v>
      </c>
      <c r="E501" s="11" t="s">
        <v>5</v>
      </c>
      <c r="F501" s="12" t="s">
        <v>153</v>
      </c>
      <c r="G501" s="12">
        <v>3.52</v>
      </c>
      <c r="H501" s="12" t="s">
        <v>4</v>
      </c>
      <c r="I501" s="14" t="s">
        <v>5</v>
      </c>
    </row>
    <row r="502" spans="2:9" ht="15.75">
      <c r="B502" s="37" t="s">
        <v>493</v>
      </c>
      <c r="C502" s="38">
        <v>3.72</v>
      </c>
      <c r="D502" s="10" t="s">
        <v>58</v>
      </c>
      <c r="E502" s="11" t="s">
        <v>5</v>
      </c>
      <c r="F502" s="12" t="s">
        <v>344</v>
      </c>
      <c r="G502" s="17">
        <v>3.52</v>
      </c>
      <c r="H502" s="12" t="s">
        <v>48</v>
      </c>
      <c r="I502" s="14" t="s">
        <v>5</v>
      </c>
    </row>
    <row r="503" spans="2:9" ht="15.75">
      <c r="B503" s="37" t="s">
        <v>603</v>
      </c>
      <c r="C503" s="36">
        <v>3.39</v>
      </c>
      <c r="D503" s="10" t="s">
        <v>58</v>
      </c>
      <c r="E503" s="11" t="s">
        <v>5</v>
      </c>
      <c r="F503" s="12" t="s">
        <v>484</v>
      </c>
      <c r="G503" s="12">
        <v>3.52</v>
      </c>
      <c r="H503" s="12" t="s">
        <v>71</v>
      </c>
      <c r="I503" s="14" t="s">
        <v>5</v>
      </c>
    </row>
    <row r="504" spans="2:9" ht="15.75">
      <c r="B504" s="37" t="s">
        <v>623</v>
      </c>
      <c r="C504" s="36">
        <v>3.53</v>
      </c>
      <c r="D504" s="10" t="s">
        <v>58</v>
      </c>
      <c r="E504" s="11" t="s">
        <v>5</v>
      </c>
      <c r="F504" s="12" t="s">
        <v>518</v>
      </c>
      <c r="G504" s="17">
        <v>3.52</v>
      </c>
      <c r="H504" s="12" t="s">
        <v>71</v>
      </c>
      <c r="I504" s="14" t="s">
        <v>5</v>
      </c>
    </row>
    <row r="505" spans="2:9" ht="15.75">
      <c r="B505" s="37" t="s">
        <v>414</v>
      </c>
      <c r="C505" s="36">
        <v>3.11</v>
      </c>
      <c r="D505" s="10" t="s">
        <v>58</v>
      </c>
      <c r="E505" s="11" t="s">
        <v>5</v>
      </c>
      <c r="F505" s="12" t="s">
        <v>541</v>
      </c>
      <c r="G505" s="12">
        <v>3.52</v>
      </c>
      <c r="H505" s="12" t="s">
        <v>71</v>
      </c>
      <c r="I505" s="14" t="s">
        <v>5</v>
      </c>
    </row>
    <row r="506" spans="2:9" ht="15.75">
      <c r="B506" s="37" t="s">
        <v>576</v>
      </c>
      <c r="C506" s="36">
        <v>3.22</v>
      </c>
      <c r="D506" s="10" t="s">
        <v>58</v>
      </c>
      <c r="E506" s="11" t="s">
        <v>5</v>
      </c>
      <c r="F506" s="12" t="s">
        <v>518</v>
      </c>
      <c r="G506" s="17">
        <v>3.52</v>
      </c>
      <c r="H506" s="12" t="s">
        <v>58</v>
      </c>
      <c r="I506" s="14" t="s">
        <v>5</v>
      </c>
    </row>
    <row r="507" spans="2:9" ht="15.75">
      <c r="B507" s="37" t="s">
        <v>420</v>
      </c>
      <c r="C507" s="36">
        <v>3.26</v>
      </c>
      <c r="D507" s="10" t="s">
        <v>58</v>
      </c>
      <c r="E507" s="11" t="s">
        <v>5</v>
      </c>
      <c r="F507" s="12" t="s">
        <v>632</v>
      </c>
      <c r="G507" s="17">
        <v>3.52</v>
      </c>
      <c r="H507" s="12" t="s">
        <v>38</v>
      </c>
      <c r="I507" s="14" t="s">
        <v>5</v>
      </c>
    </row>
    <row r="508" spans="2:9" ht="15.75">
      <c r="B508" s="37" t="s">
        <v>580</v>
      </c>
      <c r="C508" s="36">
        <v>3.35</v>
      </c>
      <c r="D508" s="10" t="s">
        <v>58</v>
      </c>
      <c r="E508" s="11" t="s">
        <v>5</v>
      </c>
      <c r="F508" s="12" t="s">
        <v>518</v>
      </c>
      <c r="G508" s="17">
        <v>3.52</v>
      </c>
      <c r="H508" s="12" t="s">
        <v>38</v>
      </c>
      <c r="I508" s="14" t="s">
        <v>5</v>
      </c>
    </row>
    <row r="509" spans="2:9" ht="15.75">
      <c r="B509" s="37" t="s">
        <v>208</v>
      </c>
      <c r="C509" s="36">
        <v>4.07</v>
      </c>
      <c r="D509" s="10" t="s">
        <v>58</v>
      </c>
      <c r="E509" s="11" t="s">
        <v>5</v>
      </c>
      <c r="F509" s="12" t="s">
        <v>484</v>
      </c>
      <c r="G509" s="13">
        <v>3.52</v>
      </c>
      <c r="H509" s="12" t="s">
        <v>102</v>
      </c>
      <c r="I509" s="14" t="s">
        <v>5</v>
      </c>
    </row>
    <row r="510" spans="2:9" ht="15.75">
      <c r="B510" s="37" t="s">
        <v>294</v>
      </c>
      <c r="C510" s="36">
        <v>3.79</v>
      </c>
      <c r="D510" s="10" t="s">
        <v>58</v>
      </c>
      <c r="E510" s="11" t="s">
        <v>5</v>
      </c>
      <c r="F510" s="12" t="s">
        <v>518</v>
      </c>
      <c r="G510" s="13">
        <v>3.52</v>
      </c>
      <c r="H510" s="12" t="s">
        <v>102</v>
      </c>
      <c r="I510" s="14" t="s">
        <v>39</v>
      </c>
    </row>
    <row r="511" spans="2:9" ht="15.75">
      <c r="B511" s="37" t="s">
        <v>477</v>
      </c>
      <c r="C511" s="36">
        <v>3.72</v>
      </c>
      <c r="D511" s="10" t="s">
        <v>58</v>
      </c>
      <c r="E511" s="11" t="s">
        <v>5</v>
      </c>
      <c r="F511" s="12" t="s">
        <v>518</v>
      </c>
      <c r="G511" s="13">
        <v>3.52</v>
      </c>
      <c r="H511" s="12" t="s">
        <v>11</v>
      </c>
      <c r="I511" s="14" t="s">
        <v>5</v>
      </c>
    </row>
    <row r="512" spans="2:9" ht="15.75">
      <c r="B512" s="37" t="s">
        <v>369</v>
      </c>
      <c r="C512" s="36">
        <v>3.85</v>
      </c>
      <c r="D512" s="10" t="s">
        <v>58</v>
      </c>
      <c r="E512" s="11" t="s">
        <v>5</v>
      </c>
      <c r="F512" s="12" t="s">
        <v>633</v>
      </c>
      <c r="G512" s="13">
        <v>3.52</v>
      </c>
      <c r="H512" s="12" t="s">
        <v>30</v>
      </c>
      <c r="I512" s="14" t="s">
        <v>5</v>
      </c>
    </row>
    <row r="513" spans="2:9" ht="15.75">
      <c r="B513" s="37" t="s">
        <v>440</v>
      </c>
      <c r="C513" s="36">
        <v>3.78</v>
      </c>
      <c r="D513" s="10" t="s">
        <v>58</v>
      </c>
      <c r="E513" s="11" t="s">
        <v>5</v>
      </c>
      <c r="F513" s="12" t="s">
        <v>633</v>
      </c>
      <c r="G513" s="13">
        <v>3.52</v>
      </c>
      <c r="H513" s="12" t="s">
        <v>30</v>
      </c>
      <c r="I513" s="14" t="s">
        <v>35</v>
      </c>
    </row>
    <row r="514" spans="2:9" ht="15.75">
      <c r="B514" s="37" t="s">
        <v>392</v>
      </c>
      <c r="C514" s="36">
        <v>3.84</v>
      </c>
      <c r="D514" s="10" t="s">
        <v>58</v>
      </c>
      <c r="E514" s="11" t="s">
        <v>39</v>
      </c>
      <c r="F514" s="12" t="s">
        <v>634</v>
      </c>
      <c r="G514" s="13">
        <v>3.52</v>
      </c>
      <c r="H514" s="12" t="s">
        <v>11</v>
      </c>
      <c r="I514" s="14" t="s">
        <v>35</v>
      </c>
    </row>
    <row r="515" spans="2:9" ht="15.75">
      <c r="B515" s="37" t="s">
        <v>423</v>
      </c>
      <c r="C515" s="36">
        <v>3.8</v>
      </c>
      <c r="D515" s="10" t="s">
        <v>58</v>
      </c>
      <c r="E515" s="11" t="s">
        <v>39</v>
      </c>
      <c r="F515" s="12" t="s">
        <v>90</v>
      </c>
      <c r="G515" s="12">
        <v>3.5</v>
      </c>
      <c r="H515" s="12" t="s">
        <v>4</v>
      </c>
      <c r="I515" s="14" t="s">
        <v>5</v>
      </c>
    </row>
    <row r="516" spans="2:9" ht="15.75">
      <c r="B516" s="37" t="s">
        <v>82</v>
      </c>
      <c r="C516" s="36">
        <v>4.37</v>
      </c>
      <c r="D516" s="10" t="s">
        <v>58</v>
      </c>
      <c r="E516" s="11" t="s">
        <v>5</v>
      </c>
      <c r="F516" s="12" t="s">
        <v>92</v>
      </c>
      <c r="G516" s="17">
        <v>3.5</v>
      </c>
      <c r="H516" s="12" t="s">
        <v>4</v>
      </c>
      <c r="I516" s="14" t="s">
        <v>5</v>
      </c>
    </row>
    <row r="517" spans="2:9" ht="15.75">
      <c r="B517" s="37" t="s">
        <v>635</v>
      </c>
      <c r="C517" s="36">
        <v>3.05</v>
      </c>
      <c r="D517" s="10" t="s">
        <v>58</v>
      </c>
      <c r="E517" s="11" t="s">
        <v>5</v>
      </c>
      <c r="F517" s="12" t="s">
        <v>202</v>
      </c>
      <c r="G517" s="17">
        <v>3.5</v>
      </c>
      <c r="H517" s="12" t="s">
        <v>4</v>
      </c>
      <c r="I517" s="14" t="s">
        <v>5</v>
      </c>
    </row>
    <row r="518" spans="2:9" ht="15.75">
      <c r="B518" s="37" t="s">
        <v>433</v>
      </c>
      <c r="C518" s="36">
        <v>3.32</v>
      </c>
      <c r="D518" s="10" t="s">
        <v>58</v>
      </c>
      <c r="E518" s="11" t="s">
        <v>5</v>
      </c>
      <c r="F518" s="12" t="s">
        <v>253</v>
      </c>
      <c r="G518" s="12">
        <v>3.5</v>
      </c>
      <c r="H518" s="12" t="s">
        <v>48</v>
      </c>
      <c r="I518" s="14" t="s">
        <v>5</v>
      </c>
    </row>
    <row r="519" spans="2:9" ht="15.75">
      <c r="B519" s="37" t="s">
        <v>536</v>
      </c>
      <c r="C519" s="36">
        <v>3.65</v>
      </c>
      <c r="D519" s="10" t="s">
        <v>58</v>
      </c>
      <c r="E519" s="11" t="s">
        <v>5</v>
      </c>
      <c r="F519" s="12" t="s">
        <v>274</v>
      </c>
      <c r="G519" s="12">
        <v>3.5</v>
      </c>
      <c r="H519" s="12" t="s">
        <v>48</v>
      </c>
      <c r="I519" s="14" t="s">
        <v>5</v>
      </c>
    </row>
    <row r="520" spans="2:9" ht="15.75">
      <c r="B520" s="37" t="s">
        <v>591</v>
      </c>
      <c r="C520" s="36">
        <v>3.58</v>
      </c>
      <c r="D520" s="10" t="s">
        <v>58</v>
      </c>
      <c r="E520" s="11" t="s">
        <v>5</v>
      </c>
      <c r="F520" s="12" t="s">
        <v>289</v>
      </c>
      <c r="G520" s="17">
        <v>3.5</v>
      </c>
      <c r="H520" s="12" t="s">
        <v>48</v>
      </c>
      <c r="I520" s="14" t="s">
        <v>5</v>
      </c>
    </row>
    <row r="521" spans="2:9" ht="15.75">
      <c r="B521" s="37" t="s">
        <v>636</v>
      </c>
      <c r="C521" s="36">
        <v>3.35</v>
      </c>
      <c r="D521" s="10" t="s">
        <v>58</v>
      </c>
      <c r="E521" s="11" t="s">
        <v>5</v>
      </c>
      <c r="F521" s="12" t="s">
        <v>340</v>
      </c>
      <c r="G521" s="17">
        <v>3.5</v>
      </c>
      <c r="H521" s="12" t="s">
        <v>48</v>
      </c>
      <c r="I521" s="14" t="s">
        <v>5</v>
      </c>
    </row>
    <row r="522" spans="2:9" ht="15.75">
      <c r="B522" s="37" t="s">
        <v>637</v>
      </c>
      <c r="C522" s="36">
        <v>3.11</v>
      </c>
      <c r="D522" s="10" t="s">
        <v>58</v>
      </c>
      <c r="E522" s="11" t="s">
        <v>5</v>
      </c>
      <c r="F522" s="12" t="s">
        <v>253</v>
      </c>
      <c r="G522" s="12">
        <v>3.5</v>
      </c>
      <c r="H522" s="12" t="s">
        <v>71</v>
      </c>
      <c r="I522" s="14" t="s">
        <v>5</v>
      </c>
    </row>
    <row r="523" spans="2:9" ht="15.75">
      <c r="B523" s="37" t="s">
        <v>233</v>
      </c>
      <c r="C523" s="36">
        <v>4.05</v>
      </c>
      <c r="D523" s="10" t="s">
        <v>58</v>
      </c>
      <c r="E523" s="11" t="s">
        <v>5</v>
      </c>
      <c r="F523" s="12" t="s">
        <v>492</v>
      </c>
      <c r="G523" s="12">
        <v>3.5</v>
      </c>
      <c r="H523" s="12" t="s">
        <v>71</v>
      </c>
      <c r="I523" s="14" t="s">
        <v>5</v>
      </c>
    </row>
    <row r="524" spans="2:9" ht="15.75">
      <c r="B524" s="37" t="s">
        <v>225</v>
      </c>
      <c r="C524" s="36">
        <v>3.26</v>
      </c>
      <c r="D524" s="10" t="s">
        <v>58</v>
      </c>
      <c r="E524" s="11" t="s">
        <v>5</v>
      </c>
      <c r="F524" s="12" t="s">
        <v>574</v>
      </c>
      <c r="G524" s="12">
        <v>3.5</v>
      </c>
      <c r="H524" s="12" t="s">
        <v>71</v>
      </c>
      <c r="I524" s="14" t="s">
        <v>5</v>
      </c>
    </row>
    <row r="525" spans="2:9" ht="15.75">
      <c r="B525" s="37" t="s">
        <v>595</v>
      </c>
      <c r="C525" s="36">
        <v>3.22</v>
      </c>
      <c r="D525" s="10" t="s">
        <v>58</v>
      </c>
      <c r="E525" s="11" t="s">
        <v>5</v>
      </c>
      <c r="F525" s="12" t="s">
        <v>587</v>
      </c>
      <c r="G525" s="12">
        <v>3.5</v>
      </c>
      <c r="H525" s="12" t="s">
        <v>71</v>
      </c>
      <c r="I525" s="14" t="s">
        <v>5</v>
      </c>
    </row>
    <row r="526" spans="2:9" ht="15.75">
      <c r="B526" s="37" t="s">
        <v>599</v>
      </c>
      <c r="C526" s="36">
        <v>3.56</v>
      </c>
      <c r="D526" s="10" t="s">
        <v>58</v>
      </c>
      <c r="E526" s="11" t="s">
        <v>5</v>
      </c>
      <c r="F526" s="12" t="s">
        <v>611</v>
      </c>
      <c r="G526" s="17">
        <v>3.5</v>
      </c>
      <c r="H526" s="12" t="s">
        <v>58</v>
      </c>
      <c r="I526" s="14" t="s">
        <v>5</v>
      </c>
    </row>
    <row r="527" spans="2:9" ht="15.75">
      <c r="B527" s="37" t="s">
        <v>602</v>
      </c>
      <c r="C527" s="36">
        <v>3.33</v>
      </c>
      <c r="D527" s="10" t="s">
        <v>58</v>
      </c>
      <c r="E527" s="11" t="s">
        <v>5</v>
      </c>
      <c r="F527" s="12" t="s">
        <v>638</v>
      </c>
      <c r="G527" s="12">
        <v>3.5</v>
      </c>
      <c r="H527" s="12" t="s">
        <v>38</v>
      </c>
      <c r="I527" s="14" t="s">
        <v>5</v>
      </c>
    </row>
    <row r="528" spans="2:9" ht="15.75">
      <c r="B528" s="37" t="s">
        <v>57</v>
      </c>
      <c r="C528" s="36">
        <v>4.55</v>
      </c>
      <c r="D528" s="10" t="s">
        <v>58</v>
      </c>
      <c r="E528" s="11" t="s">
        <v>35</v>
      </c>
      <c r="F528" s="12" t="s">
        <v>611</v>
      </c>
      <c r="G528" s="17">
        <v>3.5</v>
      </c>
      <c r="H528" s="12" t="s">
        <v>38</v>
      </c>
      <c r="I528" s="14" t="s">
        <v>5</v>
      </c>
    </row>
    <row r="529" spans="1:9" ht="15.75">
      <c r="B529" s="37" t="s">
        <v>526</v>
      </c>
      <c r="C529" s="36">
        <v>3.66</v>
      </c>
      <c r="D529" s="10" t="s">
        <v>58</v>
      </c>
      <c r="E529" s="11" t="s">
        <v>35</v>
      </c>
      <c r="F529" s="12" t="s">
        <v>639</v>
      </c>
      <c r="G529" s="12">
        <v>3.5</v>
      </c>
      <c r="H529" s="12" t="s">
        <v>38</v>
      </c>
      <c r="I529" s="14" t="s">
        <v>5</v>
      </c>
    </row>
    <row r="530" spans="1:9" ht="15.75">
      <c r="B530" s="37" t="s">
        <v>605</v>
      </c>
      <c r="C530" s="36">
        <v>3.15</v>
      </c>
      <c r="D530" s="10" t="s">
        <v>58</v>
      </c>
      <c r="E530" s="11" t="s">
        <v>5</v>
      </c>
      <c r="F530" s="12" t="s">
        <v>640</v>
      </c>
      <c r="G530" s="17">
        <v>3.5</v>
      </c>
      <c r="H530" s="12" t="s">
        <v>38</v>
      </c>
      <c r="I530" s="14" t="s">
        <v>39</v>
      </c>
    </row>
    <row r="531" spans="1:9" ht="15.75">
      <c r="B531" s="37" t="s">
        <v>248</v>
      </c>
      <c r="C531" s="36">
        <v>3.19</v>
      </c>
      <c r="D531" s="10" t="s">
        <v>38</v>
      </c>
      <c r="E531" s="11" t="s">
        <v>5</v>
      </c>
      <c r="F531" s="12" t="s">
        <v>641</v>
      </c>
      <c r="G531" s="13">
        <v>3.5</v>
      </c>
      <c r="H531" s="12" t="s">
        <v>38</v>
      </c>
      <c r="I531" s="14" t="s">
        <v>5</v>
      </c>
    </row>
    <row r="532" spans="1:9" ht="15.75">
      <c r="B532" s="37" t="s">
        <v>249</v>
      </c>
      <c r="C532" s="36">
        <v>3.83</v>
      </c>
      <c r="D532" s="10" t="s">
        <v>38</v>
      </c>
      <c r="E532" s="11" t="s">
        <v>35</v>
      </c>
      <c r="F532" s="12" t="s">
        <v>642</v>
      </c>
      <c r="G532" s="12">
        <v>3.5</v>
      </c>
      <c r="H532" s="12" t="s">
        <v>102</v>
      </c>
      <c r="I532" s="14" t="s">
        <v>5</v>
      </c>
    </row>
    <row r="533" spans="1:9" ht="15.75">
      <c r="B533" s="37" t="s">
        <v>250</v>
      </c>
      <c r="C533" s="36">
        <v>3.53</v>
      </c>
      <c r="D533" s="10" t="s">
        <v>38</v>
      </c>
      <c r="E533" s="11" t="s">
        <v>5</v>
      </c>
      <c r="F533" s="12" t="s">
        <v>611</v>
      </c>
      <c r="G533" s="13">
        <v>3.5</v>
      </c>
      <c r="H533" s="12" t="s">
        <v>11</v>
      </c>
      <c r="I533" s="14" t="s">
        <v>5</v>
      </c>
    </row>
    <row r="534" spans="1:9" ht="15.75">
      <c r="B534" s="37" t="s">
        <v>252</v>
      </c>
      <c r="C534" s="36">
        <v>3.45</v>
      </c>
      <c r="D534" s="10" t="s">
        <v>38</v>
      </c>
      <c r="E534" s="11" t="s">
        <v>5</v>
      </c>
      <c r="F534" s="12" t="s">
        <v>492</v>
      </c>
      <c r="G534" s="12">
        <v>3.5</v>
      </c>
      <c r="H534" s="12" t="s">
        <v>11</v>
      </c>
      <c r="I534" s="14" t="s">
        <v>5</v>
      </c>
    </row>
    <row r="535" spans="1:9" ht="15.75">
      <c r="B535" s="37" t="s">
        <v>643</v>
      </c>
      <c r="C535" s="36">
        <v>3.4</v>
      </c>
      <c r="D535" s="10" t="s">
        <v>38</v>
      </c>
      <c r="E535" s="11" t="s">
        <v>5</v>
      </c>
      <c r="F535" s="12" t="s">
        <v>642</v>
      </c>
      <c r="G535" s="12">
        <v>3.5</v>
      </c>
      <c r="H535" s="12" t="s">
        <v>11</v>
      </c>
      <c r="I535" s="14" t="s">
        <v>5</v>
      </c>
    </row>
    <row r="536" spans="1:9" ht="15.75">
      <c r="B536" s="37" t="s">
        <v>596</v>
      </c>
      <c r="C536" s="36">
        <v>3.58</v>
      </c>
      <c r="D536" s="10" t="s">
        <v>38</v>
      </c>
      <c r="E536" s="11" t="s">
        <v>5</v>
      </c>
      <c r="F536" s="12" t="s">
        <v>574</v>
      </c>
      <c r="G536" s="13">
        <v>3.5</v>
      </c>
      <c r="H536" s="12" t="s">
        <v>11</v>
      </c>
      <c r="I536" s="14" t="s">
        <v>5</v>
      </c>
    </row>
    <row r="537" spans="1:9" ht="15.75">
      <c r="B537" s="37" t="s">
        <v>268</v>
      </c>
      <c r="C537" s="36">
        <v>3.8</v>
      </c>
      <c r="D537" s="10" t="s">
        <v>38</v>
      </c>
      <c r="E537" s="11" t="s">
        <v>5</v>
      </c>
      <c r="F537" s="12" t="s">
        <v>644</v>
      </c>
      <c r="G537" s="12">
        <v>3.5</v>
      </c>
      <c r="H537" s="12" t="s">
        <v>30</v>
      </c>
      <c r="I537" s="14" t="s">
        <v>5</v>
      </c>
    </row>
    <row r="538" spans="1:9" ht="15.75">
      <c r="B538" s="37" t="s">
        <v>645</v>
      </c>
      <c r="C538" s="36">
        <v>3.39</v>
      </c>
      <c r="D538" s="10" t="s">
        <v>38</v>
      </c>
      <c r="E538" s="11" t="s">
        <v>5</v>
      </c>
      <c r="F538" s="12" t="s">
        <v>646</v>
      </c>
      <c r="G538" s="13">
        <v>3.5</v>
      </c>
      <c r="H538" s="12" t="s">
        <v>30</v>
      </c>
      <c r="I538" s="14" t="s">
        <v>39</v>
      </c>
    </row>
    <row r="539" spans="1:9" ht="15.75">
      <c r="A539" s="44"/>
      <c r="B539" s="40" t="s">
        <v>350</v>
      </c>
      <c r="C539" s="36">
        <v>3.88</v>
      </c>
      <c r="D539" s="10" t="s">
        <v>38</v>
      </c>
      <c r="E539" s="11" t="s">
        <v>5</v>
      </c>
      <c r="F539" s="12" t="s">
        <v>647</v>
      </c>
      <c r="G539" s="13">
        <v>3.5</v>
      </c>
      <c r="H539" s="12" t="s">
        <v>30</v>
      </c>
      <c r="I539" s="14" t="s">
        <v>5</v>
      </c>
    </row>
    <row r="540" spans="1:9" ht="15.75">
      <c r="A540" s="44"/>
      <c r="B540" s="40" t="s">
        <v>597</v>
      </c>
      <c r="C540" s="36">
        <v>3.58</v>
      </c>
      <c r="D540" s="10" t="s">
        <v>38</v>
      </c>
      <c r="E540" s="11" t="s">
        <v>5</v>
      </c>
      <c r="F540" s="12" t="s">
        <v>648</v>
      </c>
      <c r="G540" s="13">
        <v>3.5</v>
      </c>
      <c r="H540" s="12" t="s">
        <v>58</v>
      </c>
      <c r="I540" s="14" t="s">
        <v>35</v>
      </c>
    </row>
    <row r="541" spans="1:9" ht="15.75">
      <c r="A541" s="44"/>
      <c r="B541" s="37" t="s">
        <v>649</v>
      </c>
      <c r="C541" s="36">
        <v>3.42</v>
      </c>
      <c r="D541" s="10" t="s">
        <v>38</v>
      </c>
      <c r="E541" s="11" t="s">
        <v>5</v>
      </c>
      <c r="F541" s="12" t="s">
        <v>650</v>
      </c>
      <c r="G541" s="13">
        <v>3.5</v>
      </c>
      <c r="H541" s="12" t="s">
        <v>71</v>
      </c>
      <c r="I541" s="14" t="s">
        <v>39</v>
      </c>
    </row>
    <row r="542" spans="1:9" ht="15.75">
      <c r="A542" s="44"/>
      <c r="B542" s="37" t="s">
        <v>651</v>
      </c>
      <c r="C542" s="36">
        <v>3.4</v>
      </c>
      <c r="D542" s="10" t="s">
        <v>38</v>
      </c>
      <c r="E542" s="11" t="s">
        <v>5</v>
      </c>
      <c r="F542" s="12" t="s">
        <v>652</v>
      </c>
      <c r="G542" s="13">
        <v>3.5</v>
      </c>
      <c r="H542" s="12" t="s">
        <v>71</v>
      </c>
      <c r="I542" s="14" t="s">
        <v>5</v>
      </c>
    </row>
    <row r="543" spans="1:9" ht="15.75">
      <c r="A543" s="44"/>
      <c r="B543" s="40" t="s">
        <v>653</v>
      </c>
      <c r="C543" s="36">
        <v>3.24</v>
      </c>
      <c r="D543" s="10" t="s">
        <v>38</v>
      </c>
      <c r="E543" s="11" t="s">
        <v>5</v>
      </c>
      <c r="F543" s="12" t="s">
        <v>650</v>
      </c>
      <c r="G543" s="13">
        <v>3.5</v>
      </c>
      <c r="H543" s="12" t="s">
        <v>11</v>
      </c>
      <c r="I543" s="14" t="s">
        <v>5</v>
      </c>
    </row>
    <row r="544" spans="1:9" ht="15.75">
      <c r="A544" s="44"/>
      <c r="B544" s="40" t="s">
        <v>50</v>
      </c>
      <c r="C544" s="36">
        <v>4.66</v>
      </c>
      <c r="D544" s="10" t="s">
        <v>38</v>
      </c>
      <c r="E544" s="11" t="s">
        <v>5</v>
      </c>
      <c r="F544" s="12" t="s">
        <v>654</v>
      </c>
      <c r="G544" s="13">
        <v>3.5</v>
      </c>
      <c r="H544" s="12" t="s">
        <v>102</v>
      </c>
      <c r="I544" s="14" t="s">
        <v>35</v>
      </c>
    </row>
    <row r="545" spans="1:9" ht="15.75">
      <c r="A545" s="44"/>
      <c r="B545" s="37" t="s">
        <v>37</v>
      </c>
      <c r="C545" s="36">
        <v>4.8499999999999996</v>
      </c>
      <c r="D545" s="10" t="s">
        <v>38</v>
      </c>
      <c r="E545" s="11" t="s">
        <v>39</v>
      </c>
      <c r="F545" s="12" t="s">
        <v>655</v>
      </c>
      <c r="G545" s="13">
        <v>3.5</v>
      </c>
      <c r="H545" s="12" t="s">
        <v>71</v>
      </c>
      <c r="I545" s="14" t="s">
        <v>35</v>
      </c>
    </row>
    <row r="546" spans="1:9" ht="15.75">
      <c r="A546" s="44"/>
      <c r="B546" s="40" t="s">
        <v>426</v>
      </c>
      <c r="C546" s="38">
        <v>3.8</v>
      </c>
      <c r="D546" s="10" t="s">
        <v>38</v>
      </c>
      <c r="E546" s="11" t="s">
        <v>5</v>
      </c>
      <c r="F546" s="12" t="s">
        <v>656</v>
      </c>
      <c r="G546" s="12">
        <v>3.5</v>
      </c>
      <c r="H546" s="12" t="s">
        <v>71</v>
      </c>
      <c r="I546" s="14" t="s">
        <v>35</v>
      </c>
    </row>
    <row r="547" spans="1:9" ht="15.75">
      <c r="A547" s="44"/>
      <c r="B547" s="37" t="s">
        <v>478</v>
      </c>
      <c r="C547" s="36">
        <v>3.47</v>
      </c>
      <c r="D547" s="10" t="s">
        <v>38</v>
      </c>
      <c r="E547" s="11" t="s">
        <v>5</v>
      </c>
      <c r="F547" s="12" t="s">
        <v>421</v>
      </c>
      <c r="G547" s="17">
        <v>3.48</v>
      </c>
      <c r="H547" s="12" t="s">
        <v>48</v>
      </c>
      <c r="I547" s="14" t="s">
        <v>5</v>
      </c>
    </row>
    <row r="548" spans="1:9" ht="15.75">
      <c r="A548" s="44"/>
      <c r="B548" s="40" t="s">
        <v>473</v>
      </c>
      <c r="C548" s="36">
        <v>3.75</v>
      </c>
      <c r="D548" s="10" t="s">
        <v>38</v>
      </c>
      <c r="E548" s="11" t="s">
        <v>5</v>
      </c>
      <c r="F548" s="12" t="s">
        <v>403</v>
      </c>
      <c r="G548" s="13">
        <v>3.48</v>
      </c>
      <c r="H548" s="12" t="s">
        <v>38</v>
      </c>
      <c r="I548" s="14" t="s">
        <v>5</v>
      </c>
    </row>
    <row r="549" spans="1:9" ht="15.75">
      <c r="A549" s="44"/>
      <c r="B549" s="37" t="s">
        <v>519</v>
      </c>
      <c r="C549" s="36">
        <v>3.67</v>
      </c>
      <c r="D549" s="10" t="s">
        <v>38</v>
      </c>
      <c r="E549" s="11" t="s">
        <v>5</v>
      </c>
      <c r="F549" s="12" t="s">
        <v>46</v>
      </c>
      <c r="G549" s="17">
        <v>3.47</v>
      </c>
      <c r="H549" s="12" t="s">
        <v>4</v>
      </c>
      <c r="I549" s="14" t="s">
        <v>5</v>
      </c>
    </row>
    <row r="550" spans="1:9" ht="15.75">
      <c r="A550" s="44"/>
      <c r="B550" s="37" t="s">
        <v>235</v>
      </c>
      <c r="C550" s="38">
        <v>4.05</v>
      </c>
      <c r="D550" s="10" t="s">
        <v>38</v>
      </c>
      <c r="E550" s="11" t="s">
        <v>5</v>
      </c>
      <c r="F550" s="12" t="s">
        <v>128</v>
      </c>
      <c r="G550" s="12">
        <v>3.47</v>
      </c>
      <c r="H550" s="12" t="s">
        <v>4</v>
      </c>
      <c r="I550" s="14" t="s">
        <v>5</v>
      </c>
    </row>
    <row r="551" spans="1:9" ht="15.75">
      <c r="A551" s="44"/>
      <c r="B551" s="37" t="s">
        <v>286</v>
      </c>
      <c r="C551" s="36">
        <v>3.84</v>
      </c>
      <c r="D551" s="10" t="s">
        <v>38</v>
      </c>
      <c r="E551" s="11" t="s">
        <v>5</v>
      </c>
      <c r="F551" s="12" t="s">
        <v>130</v>
      </c>
      <c r="G551" s="17">
        <v>3.47</v>
      </c>
      <c r="H551" s="12" t="s">
        <v>4</v>
      </c>
      <c r="I551" s="14" t="s">
        <v>5</v>
      </c>
    </row>
    <row r="552" spans="1:9" ht="15.75">
      <c r="A552" s="44"/>
      <c r="B552" s="37" t="s">
        <v>263</v>
      </c>
      <c r="C552" s="36">
        <v>4</v>
      </c>
      <c r="D552" s="10" t="s">
        <v>38</v>
      </c>
      <c r="E552" s="11" t="s">
        <v>5</v>
      </c>
      <c r="F552" s="12" t="s">
        <v>199</v>
      </c>
      <c r="G552" s="12">
        <v>3.47</v>
      </c>
      <c r="H552" s="12" t="s">
        <v>4</v>
      </c>
      <c r="I552" s="14" t="s">
        <v>5</v>
      </c>
    </row>
    <row r="553" spans="1:9" ht="15.75">
      <c r="A553" s="44"/>
      <c r="B553" s="37" t="s">
        <v>287</v>
      </c>
      <c r="C553" s="38">
        <v>3.9</v>
      </c>
      <c r="D553" s="10" t="s">
        <v>38</v>
      </c>
      <c r="E553" s="11" t="s">
        <v>5</v>
      </c>
      <c r="F553" s="12" t="s">
        <v>317</v>
      </c>
      <c r="G553" s="17">
        <v>3.47</v>
      </c>
      <c r="H553" s="12" t="s">
        <v>48</v>
      </c>
      <c r="I553" s="14" t="s">
        <v>5</v>
      </c>
    </row>
    <row r="554" spans="1:9" ht="15.75">
      <c r="A554" s="44"/>
      <c r="B554" s="37" t="s">
        <v>131</v>
      </c>
      <c r="C554" s="36">
        <v>4.26</v>
      </c>
      <c r="D554" s="10" t="s">
        <v>38</v>
      </c>
      <c r="E554" s="11" t="s">
        <v>5</v>
      </c>
      <c r="F554" s="12" t="s">
        <v>328</v>
      </c>
      <c r="G554" s="17">
        <v>3.47</v>
      </c>
      <c r="H554" s="12" t="s">
        <v>48</v>
      </c>
      <c r="I554" s="14" t="s">
        <v>5</v>
      </c>
    </row>
    <row r="555" spans="1:9" ht="15.75">
      <c r="A555" s="44"/>
      <c r="B555" s="37" t="s">
        <v>288</v>
      </c>
      <c r="C555" s="36">
        <v>3.44</v>
      </c>
      <c r="D555" s="10" t="s">
        <v>38</v>
      </c>
      <c r="E555" s="11" t="s">
        <v>5</v>
      </c>
      <c r="F555" s="12" t="s">
        <v>345</v>
      </c>
      <c r="G555" s="17">
        <v>3.47</v>
      </c>
      <c r="H555" s="12" t="s">
        <v>48</v>
      </c>
      <c r="I555" s="14" t="s">
        <v>5</v>
      </c>
    </row>
    <row r="556" spans="1:9" ht="15.75">
      <c r="A556" s="44"/>
      <c r="B556" s="37" t="s">
        <v>560</v>
      </c>
      <c r="C556" s="36">
        <v>3.63</v>
      </c>
      <c r="D556" s="10" t="s">
        <v>38</v>
      </c>
      <c r="E556" s="11" t="s">
        <v>5</v>
      </c>
      <c r="F556" s="12" t="s">
        <v>403</v>
      </c>
      <c r="G556" s="12">
        <v>3.47</v>
      </c>
      <c r="H556" s="12" t="s">
        <v>48</v>
      </c>
      <c r="I556" s="14" t="s">
        <v>5</v>
      </c>
    </row>
    <row r="557" spans="1:9" ht="15.75">
      <c r="A557" s="44"/>
      <c r="B557" s="37" t="s">
        <v>204</v>
      </c>
      <c r="C557" s="38">
        <v>4.0999999999999996</v>
      </c>
      <c r="D557" s="10" t="s">
        <v>38</v>
      </c>
      <c r="E557" s="11" t="s">
        <v>5</v>
      </c>
      <c r="F557" s="12" t="s">
        <v>407</v>
      </c>
      <c r="G557" s="12">
        <v>3.47</v>
      </c>
      <c r="H557" s="12" t="s">
        <v>48</v>
      </c>
      <c r="I557" s="14" t="s">
        <v>5</v>
      </c>
    </row>
    <row r="558" spans="1:9" ht="15.75">
      <c r="A558" s="44"/>
      <c r="B558" s="37" t="s">
        <v>638</v>
      </c>
      <c r="C558" s="38">
        <v>3.5</v>
      </c>
      <c r="D558" s="10" t="s">
        <v>38</v>
      </c>
      <c r="E558" s="11" t="s">
        <v>5</v>
      </c>
      <c r="F558" s="12" t="s">
        <v>478</v>
      </c>
      <c r="G558" s="12">
        <v>3.47</v>
      </c>
      <c r="H558" s="12" t="s">
        <v>71</v>
      </c>
      <c r="I558" s="14" t="s">
        <v>5</v>
      </c>
    </row>
    <row r="559" spans="1:9" ht="15.75">
      <c r="A559" s="44"/>
      <c r="B559" s="37" t="s">
        <v>611</v>
      </c>
      <c r="C559" s="36">
        <v>3.5</v>
      </c>
      <c r="D559" s="10" t="s">
        <v>38</v>
      </c>
      <c r="E559" s="11" t="s">
        <v>5</v>
      </c>
      <c r="F559" s="12" t="s">
        <v>546</v>
      </c>
      <c r="G559" s="12">
        <v>3.47</v>
      </c>
      <c r="H559" s="12" t="s">
        <v>71</v>
      </c>
      <c r="I559" s="14" t="s">
        <v>5</v>
      </c>
    </row>
    <row r="560" spans="1:9" ht="15.75">
      <c r="A560" s="44"/>
      <c r="B560" s="37" t="s">
        <v>538</v>
      </c>
      <c r="C560" s="36">
        <v>3.65</v>
      </c>
      <c r="D560" s="10" t="s">
        <v>38</v>
      </c>
      <c r="E560" s="11" t="s">
        <v>5</v>
      </c>
      <c r="F560" s="12" t="s">
        <v>562</v>
      </c>
      <c r="G560" s="17">
        <v>3.47</v>
      </c>
      <c r="H560" s="12" t="s">
        <v>71</v>
      </c>
      <c r="I560" s="14" t="s">
        <v>5</v>
      </c>
    </row>
    <row r="561" spans="1:9" ht="15.75">
      <c r="A561" s="44"/>
      <c r="B561" s="37" t="s">
        <v>206</v>
      </c>
      <c r="C561" s="38">
        <v>4.0999999999999996</v>
      </c>
      <c r="D561" s="10" t="s">
        <v>38</v>
      </c>
      <c r="E561" s="11" t="s">
        <v>5</v>
      </c>
      <c r="F561" s="12" t="s">
        <v>564</v>
      </c>
      <c r="G561" s="12">
        <v>3.47</v>
      </c>
      <c r="H561" s="12" t="s">
        <v>71</v>
      </c>
      <c r="I561" s="14" t="s">
        <v>5</v>
      </c>
    </row>
    <row r="562" spans="1:9" ht="15.75">
      <c r="A562" s="44"/>
      <c r="B562" s="37" t="s">
        <v>236</v>
      </c>
      <c r="C562" s="38">
        <v>4.05</v>
      </c>
      <c r="D562" s="10" t="s">
        <v>38</v>
      </c>
      <c r="E562" s="11" t="s">
        <v>5</v>
      </c>
      <c r="F562" s="12" t="s">
        <v>567</v>
      </c>
      <c r="G562" s="12">
        <v>3.47</v>
      </c>
      <c r="H562" s="12" t="s">
        <v>71</v>
      </c>
      <c r="I562" s="14" t="s">
        <v>5</v>
      </c>
    </row>
    <row r="563" spans="1:9" ht="15.75">
      <c r="A563" s="44"/>
      <c r="B563" s="37" t="s">
        <v>237</v>
      </c>
      <c r="C563" s="38">
        <v>4.05</v>
      </c>
      <c r="D563" s="10" t="s">
        <v>38</v>
      </c>
      <c r="E563" s="11" t="s">
        <v>5</v>
      </c>
      <c r="F563" s="12" t="s">
        <v>586</v>
      </c>
      <c r="G563" s="12">
        <v>3.47</v>
      </c>
      <c r="H563" s="12" t="s">
        <v>71</v>
      </c>
      <c r="I563" s="14" t="s">
        <v>5</v>
      </c>
    </row>
    <row r="564" spans="1:9" ht="15.75">
      <c r="A564" s="44"/>
      <c r="B564" s="37" t="s">
        <v>657</v>
      </c>
      <c r="C564" s="45"/>
      <c r="D564" s="10" t="s">
        <v>38</v>
      </c>
      <c r="E564" s="11" t="s">
        <v>5</v>
      </c>
      <c r="F564" s="12" t="s">
        <v>478</v>
      </c>
      <c r="G564" s="17">
        <v>3.47</v>
      </c>
      <c r="H564" s="12" t="s">
        <v>38</v>
      </c>
      <c r="I564" s="14" t="s">
        <v>5</v>
      </c>
    </row>
    <row r="565" spans="1:9" ht="15.75">
      <c r="A565" s="44"/>
      <c r="B565" s="37" t="s">
        <v>479</v>
      </c>
      <c r="C565" s="36">
        <v>3.74</v>
      </c>
      <c r="D565" s="10" t="s">
        <v>38</v>
      </c>
      <c r="E565" s="11" t="s">
        <v>35</v>
      </c>
      <c r="F565" s="12" t="s">
        <v>658</v>
      </c>
      <c r="G565" s="17">
        <v>3.47</v>
      </c>
      <c r="H565" s="12" t="s">
        <v>38</v>
      </c>
      <c r="I565" s="14" t="s">
        <v>5</v>
      </c>
    </row>
    <row r="566" spans="1:9" ht="15.75">
      <c r="A566" s="44"/>
      <c r="B566" s="37" t="s">
        <v>659</v>
      </c>
      <c r="C566" s="38">
        <v>3.44</v>
      </c>
      <c r="D566" s="10" t="s">
        <v>38</v>
      </c>
      <c r="E566" s="11" t="s">
        <v>5</v>
      </c>
      <c r="F566" s="12" t="s">
        <v>328</v>
      </c>
      <c r="G566" s="17">
        <v>3.47</v>
      </c>
      <c r="H566" s="12" t="s">
        <v>38</v>
      </c>
      <c r="I566" s="14" t="s">
        <v>39</v>
      </c>
    </row>
    <row r="567" spans="1:9" ht="15.75">
      <c r="A567" s="44"/>
      <c r="B567" s="37" t="s">
        <v>297</v>
      </c>
      <c r="C567" s="36">
        <v>3.94</v>
      </c>
      <c r="D567" s="10" t="s">
        <v>38</v>
      </c>
      <c r="E567" s="11" t="s">
        <v>5</v>
      </c>
      <c r="F567" s="12" t="s">
        <v>567</v>
      </c>
      <c r="G567" s="17">
        <v>3.47</v>
      </c>
      <c r="H567" s="12" t="s">
        <v>38</v>
      </c>
      <c r="I567" s="14" t="s">
        <v>5</v>
      </c>
    </row>
    <row r="568" spans="1:9" ht="15.75">
      <c r="A568" s="44"/>
      <c r="B568" s="37" t="s">
        <v>416</v>
      </c>
      <c r="C568" s="36">
        <v>3.83</v>
      </c>
      <c r="D568" s="10" t="s">
        <v>38</v>
      </c>
      <c r="E568" s="11" t="s">
        <v>5</v>
      </c>
      <c r="F568" s="12" t="s">
        <v>403</v>
      </c>
      <c r="G568" s="13">
        <v>3.47</v>
      </c>
      <c r="H568" s="12" t="s">
        <v>102</v>
      </c>
      <c r="I568" s="14" t="s">
        <v>5</v>
      </c>
    </row>
    <row r="569" spans="1:9" ht="15.75">
      <c r="A569" s="44"/>
      <c r="B569" s="37" t="s">
        <v>165</v>
      </c>
      <c r="C569" s="36">
        <v>3.42</v>
      </c>
      <c r="D569" s="10" t="s">
        <v>38</v>
      </c>
      <c r="E569" s="11" t="s">
        <v>5</v>
      </c>
      <c r="F569" s="12" t="s">
        <v>660</v>
      </c>
      <c r="G569" s="13">
        <v>3.47</v>
      </c>
      <c r="H569" s="12" t="s">
        <v>11</v>
      </c>
      <c r="I569" s="14" t="s">
        <v>5</v>
      </c>
    </row>
    <row r="570" spans="1:9" ht="15.75">
      <c r="A570" s="44"/>
      <c r="B570" s="37" t="s">
        <v>658</v>
      </c>
      <c r="C570" s="36">
        <v>3.47</v>
      </c>
      <c r="D570" s="10" t="s">
        <v>38</v>
      </c>
      <c r="E570" s="11" t="s">
        <v>5</v>
      </c>
      <c r="F570" s="12" t="s">
        <v>658</v>
      </c>
      <c r="G570" s="13">
        <v>3.47</v>
      </c>
      <c r="H570" s="12" t="s">
        <v>11</v>
      </c>
      <c r="I570" s="14" t="s">
        <v>5</v>
      </c>
    </row>
    <row r="571" spans="1:9" ht="15.75">
      <c r="A571" s="44"/>
      <c r="B571" s="37" t="s">
        <v>146</v>
      </c>
      <c r="C571" s="36">
        <v>3.78</v>
      </c>
      <c r="D571" s="10" t="s">
        <v>38</v>
      </c>
      <c r="E571" s="11" t="s">
        <v>5</v>
      </c>
      <c r="F571" s="12" t="s">
        <v>546</v>
      </c>
      <c r="G571" s="13">
        <v>3.47</v>
      </c>
      <c r="H571" s="12" t="s">
        <v>11</v>
      </c>
      <c r="I571" s="14" t="s">
        <v>5</v>
      </c>
    </row>
    <row r="572" spans="1:9" ht="15.75">
      <c r="A572" s="44"/>
      <c r="B572" s="37" t="s">
        <v>661</v>
      </c>
      <c r="C572" s="36">
        <v>3.44</v>
      </c>
      <c r="D572" s="10" t="s">
        <v>38</v>
      </c>
      <c r="E572" s="11" t="s">
        <v>5</v>
      </c>
      <c r="F572" s="12" t="s">
        <v>662</v>
      </c>
      <c r="G572" s="13">
        <v>3.47</v>
      </c>
      <c r="H572" s="12" t="s">
        <v>30</v>
      </c>
      <c r="I572" s="14" t="s">
        <v>5</v>
      </c>
    </row>
    <row r="573" spans="1:9" ht="15.75">
      <c r="A573" s="44"/>
      <c r="B573" s="37" t="s">
        <v>507</v>
      </c>
      <c r="C573" s="36">
        <v>3.29</v>
      </c>
      <c r="D573" s="10" t="s">
        <v>38</v>
      </c>
      <c r="E573" s="11" t="s">
        <v>5</v>
      </c>
      <c r="F573" s="12" t="s">
        <v>130</v>
      </c>
      <c r="G573" s="13">
        <v>3.47</v>
      </c>
      <c r="H573" s="12" t="s">
        <v>30</v>
      </c>
      <c r="I573" s="14" t="s">
        <v>5</v>
      </c>
    </row>
    <row r="574" spans="1:9" ht="15.75">
      <c r="A574" s="44"/>
      <c r="B574" s="37" t="s">
        <v>97</v>
      </c>
      <c r="C574" s="36">
        <v>4.3600000000000003</v>
      </c>
      <c r="D574" s="10" t="s">
        <v>38</v>
      </c>
      <c r="E574" s="11" t="s">
        <v>5</v>
      </c>
      <c r="F574" s="12" t="s">
        <v>663</v>
      </c>
      <c r="G574" s="13">
        <v>3.47</v>
      </c>
      <c r="H574" s="12" t="s">
        <v>30</v>
      </c>
      <c r="I574" s="14" t="s">
        <v>5</v>
      </c>
    </row>
    <row r="575" spans="1:9" ht="15.75">
      <c r="A575" s="44"/>
      <c r="B575" s="37" t="s">
        <v>227</v>
      </c>
      <c r="C575" s="36">
        <v>4.05</v>
      </c>
      <c r="D575" s="10" t="s">
        <v>38</v>
      </c>
      <c r="E575" s="11" t="s">
        <v>5</v>
      </c>
      <c r="F575" s="12" t="s">
        <v>664</v>
      </c>
      <c r="G575" s="13">
        <v>3.47</v>
      </c>
      <c r="H575" s="12" t="s">
        <v>71</v>
      </c>
      <c r="I575" s="14" t="s">
        <v>35</v>
      </c>
    </row>
    <row r="576" spans="1:9" ht="15.75">
      <c r="A576" s="44"/>
      <c r="B576" s="37" t="s">
        <v>146</v>
      </c>
      <c r="C576" s="36">
        <v>4.21</v>
      </c>
      <c r="D576" s="10" t="s">
        <v>38</v>
      </c>
      <c r="E576" s="11" t="s">
        <v>5</v>
      </c>
      <c r="F576" s="12" t="s">
        <v>2</v>
      </c>
      <c r="G576" s="17">
        <v>3.45</v>
      </c>
      <c r="H576" s="12" t="s">
        <v>4</v>
      </c>
      <c r="I576" s="14" t="s">
        <v>5</v>
      </c>
    </row>
    <row r="577" spans="1:9" ht="15.75">
      <c r="A577" s="44"/>
      <c r="B577" s="37" t="s">
        <v>326</v>
      </c>
      <c r="C577" s="36">
        <v>3.78</v>
      </c>
      <c r="D577" s="10" t="s">
        <v>38</v>
      </c>
      <c r="E577" s="11" t="s">
        <v>5</v>
      </c>
      <c r="F577" s="12" t="s">
        <v>252</v>
      </c>
      <c r="G577" s="12">
        <v>3.45</v>
      </c>
      <c r="H577" s="12" t="s">
        <v>48</v>
      </c>
      <c r="I577" s="14" t="s">
        <v>5</v>
      </c>
    </row>
    <row r="578" spans="1:9" ht="15.75">
      <c r="A578" s="44"/>
      <c r="B578" s="37" t="s">
        <v>279</v>
      </c>
      <c r="C578" s="36">
        <v>3.95</v>
      </c>
      <c r="D578" s="10" t="s">
        <v>38</v>
      </c>
      <c r="E578" s="11" t="s">
        <v>5</v>
      </c>
      <c r="F578" s="12" t="s">
        <v>452</v>
      </c>
      <c r="G578" s="12">
        <v>3.45</v>
      </c>
      <c r="H578" s="12" t="s">
        <v>71</v>
      </c>
      <c r="I578" s="14" t="s">
        <v>5</v>
      </c>
    </row>
    <row r="579" spans="1:9" ht="15.75">
      <c r="A579" s="44"/>
      <c r="B579" s="37" t="s">
        <v>328</v>
      </c>
      <c r="C579" s="36">
        <v>3.47</v>
      </c>
      <c r="D579" s="10" t="s">
        <v>38</v>
      </c>
      <c r="E579" s="11" t="s">
        <v>39</v>
      </c>
      <c r="F579" s="12" t="s">
        <v>252</v>
      </c>
      <c r="G579" s="17">
        <v>3.45</v>
      </c>
      <c r="H579" s="12" t="s">
        <v>38</v>
      </c>
      <c r="I579" s="14" t="s">
        <v>5</v>
      </c>
    </row>
    <row r="580" spans="1:9" ht="15.75">
      <c r="A580" s="44"/>
      <c r="B580" s="37" t="s">
        <v>514</v>
      </c>
      <c r="C580" s="36">
        <v>3.23</v>
      </c>
      <c r="D580" s="10" t="s">
        <v>38</v>
      </c>
      <c r="E580" s="11" t="s">
        <v>5</v>
      </c>
      <c r="F580" s="12" t="s">
        <v>665</v>
      </c>
      <c r="G580" s="13">
        <v>3.45</v>
      </c>
      <c r="H580" s="12" t="s">
        <v>30</v>
      </c>
      <c r="I580" s="14" t="s">
        <v>5</v>
      </c>
    </row>
    <row r="581" spans="1:9" ht="15.75">
      <c r="A581" s="44"/>
      <c r="B581" s="37" t="s">
        <v>632</v>
      </c>
      <c r="C581" s="36">
        <v>3.52</v>
      </c>
      <c r="D581" s="10" t="s">
        <v>38</v>
      </c>
      <c r="E581" s="11" t="s">
        <v>5</v>
      </c>
      <c r="F581" s="12" t="s">
        <v>110</v>
      </c>
      <c r="G581" s="12">
        <v>3.44</v>
      </c>
      <c r="H581" s="12" t="s">
        <v>4</v>
      </c>
      <c r="I581" s="14" t="s">
        <v>5</v>
      </c>
    </row>
    <row r="582" spans="1:9" ht="15.75">
      <c r="A582" s="44"/>
      <c r="B582" s="37" t="s">
        <v>528</v>
      </c>
      <c r="C582" s="36">
        <v>3.66</v>
      </c>
      <c r="D582" s="10" t="s">
        <v>38</v>
      </c>
      <c r="E582" s="11" t="s">
        <v>5</v>
      </c>
      <c r="F582" s="12" t="s">
        <v>141</v>
      </c>
      <c r="G582" s="12">
        <v>3.44</v>
      </c>
      <c r="H582" s="12" t="s">
        <v>4</v>
      </c>
      <c r="I582" s="14" t="s">
        <v>5</v>
      </c>
    </row>
    <row r="583" spans="1:9" ht="15.75">
      <c r="A583" s="44"/>
      <c r="B583" s="37" t="s">
        <v>516</v>
      </c>
      <c r="C583" s="38">
        <v>3.1</v>
      </c>
      <c r="D583" s="10" t="s">
        <v>38</v>
      </c>
      <c r="E583" s="11" t="s">
        <v>5</v>
      </c>
      <c r="F583" s="12" t="s">
        <v>194</v>
      </c>
      <c r="G583" s="17">
        <v>3.44</v>
      </c>
      <c r="H583" s="12" t="s">
        <v>4</v>
      </c>
      <c r="I583" s="14" t="s">
        <v>5</v>
      </c>
    </row>
    <row r="584" spans="1:9" ht="15.75">
      <c r="A584" s="44"/>
      <c r="B584" s="37" t="s">
        <v>459</v>
      </c>
      <c r="C584" s="36">
        <v>3.77</v>
      </c>
      <c r="D584" s="10" t="s">
        <v>38</v>
      </c>
      <c r="E584" s="11" t="s">
        <v>5</v>
      </c>
      <c r="F584" s="12" t="s">
        <v>266</v>
      </c>
      <c r="G584" s="12">
        <v>3.44</v>
      </c>
      <c r="H584" s="12" t="s">
        <v>48</v>
      </c>
      <c r="I584" s="14" t="s">
        <v>39</v>
      </c>
    </row>
    <row r="585" spans="1:9" ht="15.75">
      <c r="A585" s="44"/>
      <c r="B585" s="37" t="s">
        <v>518</v>
      </c>
      <c r="C585" s="36">
        <v>3.52</v>
      </c>
      <c r="D585" s="10" t="s">
        <v>38</v>
      </c>
      <c r="E585" s="11" t="s">
        <v>5</v>
      </c>
      <c r="F585" s="12" t="s">
        <v>288</v>
      </c>
      <c r="G585" s="12">
        <v>3.44</v>
      </c>
      <c r="H585" s="12" t="s">
        <v>48</v>
      </c>
      <c r="I585" s="14" t="s">
        <v>35</v>
      </c>
    </row>
    <row r="586" spans="1:9" ht="15.75">
      <c r="A586" s="44"/>
      <c r="B586" s="40" t="s">
        <v>299</v>
      </c>
      <c r="C586" s="36">
        <v>3.94</v>
      </c>
      <c r="D586" s="10" t="s">
        <v>38</v>
      </c>
      <c r="E586" s="11" t="s">
        <v>5</v>
      </c>
      <c r="F586" s="12" t="s">
        <v>308</v>
      </c>
      <c r="G586" s="12">
        <v>3.44</v>
      </c>
      <c r="H586" s="12" t="s">
        <v>48</v>
      </c>
      <c r="I586" s="14" t="s">
        <v>5</v>
      </c>
    </row>
    <row r="587" spans="1:9" ht="15.75">
      <c r="A587" s="44"/>
      <c r="B587" s="40" t="s">
        <v>489</v>
      </c>
      <c r="C587" s="36">
        <v>3.72</v>
      </c>
      <c r="D587" s="10" t="s">
        <v>38</v>
      </c>
      <c r="E587" s="11" t="s">
        <v>5</v>
      </c>
      <c r="F587" s="12" t="s">
        <v>379</v>
      </c>
      <c r="G587" s="12">
        <v>3.44</v>
      </c>
      <c r="H587" s="12" t="s">
        <v>48</v>
      </c>
      <c r="I587" s="14" t="s">
        <v>5</v>
      </c>
    </row>
    <row r="588" spans="1:9" ht="15.75">
      <c r="A588" s="44"/>
      <c r="B588" s="40" t="s">
        <v>527</v>
      </c>
      <c r="C588" s="36">
        <v>3.21</v>
      </c>
      <c r="D588" s="10" t="s">
        <v>38</v>
      </c>
      <c r="E588" s="11" t="s">
        <v>5</v>
      </c>
      <c r="F588" s="12" t="s">
        <v>396</v>
      </c>
      <c r="G588" s="12">
        <v>3.44</v>
      </c>
      <c r="H588" s="12" t="s">
        <v>48</v>
      </c>
      <c r="I588" s="14" t="s">
        <v>5</v>
      </c>
    </row>
    <row r="589" spans="1:9" ht="15.75">
      <c r="A589" s="44"/>
      <c r="B589" s="37" t="s">
        <v>666</v>
      </c>
      <c r="C589" s="36">
        <v>3.36</v>
      </c>
      <c r="D589" s="10" t="s">
        <v>38</v>
      </c>
      <c r="E589" s="11" t="s">
        <v>5</v>
      </c>
      <c r="F589" s="12" t="s">
        <v>446</v>
      </c>
      <c r="G589" s="17">
        <v>3.44</v>
      </c>
      <c r="H589" s="12" t="s">
        <v>71</v>
      </c>
      <c r="I589" s="14" t="s">
        <v>5</v>
      </c>
    </row>
    <row r="590" spans="1:9" ht="15.75">
      <c r="A590" s="44"/>
      <c r="B590" s="37" t="s">
        <v>617</v>
      </c>
      <c r="C590" s="36">
        <v>3.55</v>
      </c>
      <c r="D590" s="10" t="s">
        <v>38</v>
      </c>
      <c r="E590" s="11" t="s">
        <v>5</v>
      </c>
      <c r="F590" s="12" t="s">
        <v>457</v>
      </c>
      <c r="G590" s="12">
        <v>3.44</v>
      </c>
      <c r="H590" s="12" t="s">
        <v>71</v>
      </c>
      <c r="I590" s="14" t="s">
        <v>5</v>
      </c>
    </row>
    <row r="591" spans="1:9" ht="15.75">
      <c r="A591" s="44"/>
      <c r="B591" s="37" t="s">
        <v>309</v>
      </c>
      <c r="C591" s="38">
        <v>3.9</v>
      </c>
      <c r="D591" s="10" t="s">
        <v>38</v>
      </c>
      <c r="E591" s="11" t="s">
        <v>39</v>
      </c>
      <c r="F591" s="12" t="s">
        <v>481</v>
      </c>
      <c r="G591" s="12">
        <v>3.44</v>
      </c>
      <c r="H591" s="12" t="s">
        <v>71</v>
      </c>
      <c r="I591" s="14" t="s">
        <v>5</v>
      </c>
    </row>
    <row r="592" spans="1:9" ht="15.75">
      <c r="A592" s="44"/>
      <c r="B592" s="40" t="s">
        <v>468</v>
      </c>
      <c r="C592" s="36">
        <v>3.76</v>
      </c>
      <c r="D592" s="10" t="s">
        <v>38</v>
      </c>
      <c r="E592" s="11" t="s">
        <v>5</v>
      </c>
      <c r="F592" s="12" t="s">
        <v>583</v>
      </c>
      <c r="G592" s="17">
        <v>3.44</v>
      </c>
      <c r="H592" s="12" t="s">
        <v>71</v>
      </c>
      <c r="I592" s="14" t="s">
        <v>39</v>
      </c>
    </row>
    <row r="593" spans="1:9" ht="15.75">
      <c r="A593" s="44"/>
      <c r="B593" s="37" t="s">
        <v>667</v>
      </c>
      <c r="C593" s="36">
        <v>3.21</v>
      </c>
      <c r="D593" s="10" t="s">
        <v>38</v>
      </c>
      <c r="E593" s="11" t="s">
        <v>5</v>
      </c>
      <c r="F593" s="12" t="s">
        <v>584</v>
      </c>
      <c r="G593" s="12">
        <v>3.44</v>
      </c>
      <c r="H593" s="12" t="s">
        <v>71</v>
      </c>
      <c r="I593" s="14" t="s">
        <v>5</v>
      </c>
    </row>
    <row r="594" spans="1:9" ht="15.75">
      <c r="A594" s="44"/>
      <c r="B594" s="37" t="s">
        <v>645</v>
      </c>
      <c r="C594" s="36">
        <v>3.38</v>
      </c>
      <c r="D594" s="10" t="s">
        <v>38</v>
      </c>
      <c r="E594" s="11" t="s">
        <v>5</v>
      </c>
      <c r="F594" s="12" t="s">
        <v>598</v>
      </c>
      <c r="G594" s="17">
        <v>3.44</v>
      </c>
      <c r="H594" s="12" t="s">
        <v>71</v>
      </c>
      <c r="I594" s="14" t="s">
        <v>39</v>
      </c>
    </row>
    <row r="595" spans="1:9" ht="15.75">
      <c r="A595" s="44"/>
      <c r="B595" s="37" t="s">
        <v>395</v>
      </c>
      <c r="C595" s="36">
        <v>3.84</v>
      </c>
      <c r="D595" s="10" t="s">
        <v>38</v>
      </c>
      <c r="E595" s="11" t="s">
        <v>5</v>
      </c>
      <c r="F595" s="12" t="s">
        <v>457</v>
      </c>
      <c r="G595" s="17">
        <v>3.44</v>
      </c>
      <c r="H595" s="12" t="s">
        <v>58</v>
      </c>
      <c r="I595" s="14" t="s">
        <v>5</v>
      </c>
    </row>
    <row r="596" spans="1:9" ht="15.75">
      <c r="A596" s="44"/>
      <c r="B596" s="37" t="s">
        <v>639</v>
      </c>
      <c r="C596" s="38">
        <v>3.5</v>
      </c>
      <c r="D596" s="10" t="s">
        <v>38</v>
      </c>
      <c r="E596" s="11" t="s">
        <v>5</v>
      </c>
      <c r="F596" s="12" t="s">
        <v>481</v>
      </c>
      <c r="G596" s="12">
        <v>3.44</v>
      </c>
      <c r="H596" s="12" t="s">
        <v>58</v>
      </c>
      <c r="I596" s="14" t="s">
        <v>35</v>
      </c>
    </row>
    <row r="597" spans="1:9" ht="15.75">
      <c r="A597" s="44"/>
      <c r="B597" s="37" t="s">
        <v>385</v>
      </c>
      <c r="C597" s="36">
        <v>3.31</v>
      </c>
      <c r="D597" s="10" t="s">
        <v>38</v>
      </c>
      <c r="E597" s="11" t="s">
        <v>5</v>
      </c>
      <c r="F597" s="12" t="s">
        <v>609</v>
      </c>
      <c r="G597" s="12">
        <v>3.44</v>
      </c>
      <c r="H597" s="12" t="s">
        <v>58</v>
      </c>
      <c r="I597" s="14" t="s">
        <v>5</v>
      </c>
    </row>
    <row r="598" spans="1:9" ht="15.75">
      <c r="A598" s="44"/>
      <c r="B598" s="37" t="s">
        <v>668</v>
      </c>
      <c r="C598" s="38">
        <v>3.25</v>
      </c>
      <c r="D598" s="10" t="s">
        <v>38</v>
      </c>
      <c r="E598" s="11" t="s">
        <v>5</v>
      </c>
      <c r="F598" s="12" t="s">
        <v>618</v>
      </c>
      <c r="G598" s="17">
        <v>3.44</v>
      </c>
      <c r="H598" s="12" t="s">
        <v>58</v>
      </c>
      <c r="I598" s="14" t="s">
        <v>5</v>
      </c>
    </row>
    <row r="599" spans="1:9" ht="15.75">
      <c r="A599" s="44"/>
      <c r="B599" s="37" t="s">
        <v>331</v>
      </c>
      <c r="C599" s="36">
        <v>3.89</v>
      </c>
      <c r="D599" s="10" t="s">
        <v>38</v>
      </c>
      <c r="E599" s="11" t="s">
        <v>5</v>
      </c>
      <c r="F599" s="12" t="s">
        <v>618</v>
      </c>
      <c r="G599" s="17">
        <v>3.44</v>
      </c>
      <c r="H599" s="12" t="s">
        <v>58</v>
      </c>
      <c r="I599" s="14" t="s">
        <v>5</v>
      </c>
    </row>
    <row r="600" spans="1:9" ht="15.75">
      <c r="A600" s="44"/>
      <c r="B600" s="37" t="s">
        <v>669</v>
      </c>
      <c r="C600" s="36">
        <v>3.44</v>
      </c>
      <c r="D600" s="10" t="s">
        <v>38</v>
      </c>
      <c r="E600" s="11" t="s">
        <v>5</v>
      </c>
      <c r="F600" s="12" t="s">
        <v>288</v>
      </c>
      <c r="G600" s="17">
        <v>3.44</v>
      </c>
      <c r="H600" s="12" t="s">
        <v>38</v>
      </c>
      <c r="I600" s="14" t="s">
        <v>5</v>
      </c>
    </row>
    <row r="601" spans="1:9" ht="15.75">
      <c r="A601" s="44"/>
      <c r="B601" s="37" t="s">
        <v>509</v>
      </c>
      <c r="C601" s="36">
        <v>3.68</v>
      </c>
      <c r="D601" s="10" t="s">
        <v>38</v>
      </c>
      <c r="E601" s="11" t="s">
        <v>35</v>
      </c>
      <c r="F601" s="12" t="s">
        <v>659</v>
      </c>
      <c r="G601" s="12">
        <v>3.44</v>
      </c>
      <c r="H601" s="12" t="s">
        <v>38</v>
      </c>
      <c r="I601" s="14" t="s">
        <v>5</v>
      </c>
    </row>
    <row r="602" spans="1:9" ht="15.75">
      <c r="A602" s="44"/>
      <c r="B602" s="37" t="s">
        <v>567</v>
      </c>
      <c r="C602" s="36">
        <v>3.47</v>
      </c>
      <c r="D602" s="10" t="s">
        <v>38</v>
      </c>
      <c r="E602" s="11" t="s">
        <v>5</v>
      </c>
      <c r="F602" s="12" t="s">
        <v>661</v>
      </c>
      <c r="G602" s="17">
        <v>3.44</v>
      </c>
      <c r="H602" s="12" t="s">
        <v>38</v>
      </c>
      <c r="I602" s="14" t="s">
        <v>5</v>
      </c>
    </row>
    <row r="603" spans="1:9" ht="15.75">
      <c r="A603" s="44"/>
      <c r="B603" s="37" t="s">
        <v>333</v>
      </c>
      <c r="C603" s="36">
        <v>3.89</v>
      </c>
      <c r="D603" s="10" t="s">
        <v>38</v>
      </c>
      <c r="E603" s="11" t="s">
        <v>5</v>
      </c>
      <c r="F603" s="12" t="s">
        <v>669</v>
      </c>
      <c r="G603" s="17">
        <v>3.44</v>
      </c>
      <c r="H603" s="12" t="s">
        <v>38</v>
      </c>
      <c r="I603" s="14" t="s">
        <v>5</v>
      </c>
    </row>
    <row r="604" spans="1:9" ht="15.75">
      <c r="A604" s="44"/>
      <c r="B604" s="37" t="s">
        <v>640</v>
      </c>
      <c r="C604" s="36">
        <v>3.5</v>
      </c>
      <c r="D604" s="10" t="s">
        <v>38</v>
      </c>
      <c r="E604" s="11" t="s">
        <v>39</v>
      </c>
      <c r="F604" s="12" t="s">
        <v>670</v>
      </c>
      <c r="G604" s="13">
        <v>3.44</v>
      </c>
      <c r="H604" s="12" t="s">
        <v>102</v>
      </c>
      <c r="I604" s="14" t="s">
        <v>5</v>
      </c>
    </row>
    <row r="605" spans="1:9" ht="15.75">
      <c r="A605" s="44"/>
      <c r="B605" s="37" t="s">
        <v>597</v>
      </c>
      <c r="C605" s="36">
        <v>3.58</v>
      </c>
      <c r="D605" s="10" t="s">
        <v>38</v>
      </c>
      <c r="E605" s="11" t="s">
        <v>5</v>
      </c>
      <c r="F605" s="12" t="s">
        <v>457</v>
      </c>
      <c r="G605" s="13">
        <v>3.44</v>
      </c>
      <c r="H605" s="12" t="s">
        <v>11</v>
      </c>
      <c r="I605" s="14" t="s">
        <v>5</v>
      </c>
    </row>
    <row r="606" spans="1:9" ht="15.75">
      <c r="A606" s="44"/>
      <c r="B606" s="37" t="s">
        <v>480</v>
      </c>
      <c r="C606" s="46">
        <v>3.74</v>
      </c>
      <c r="D606" s="10" t="s">
        <v>38</v>
      </c>
      <c r="E606" s="11" t="s">
        <v>5</v>
      </c>
      <c r="F606" s="12" t="s">
        <v>618</v>
      </c>
      <c r="G606" s="13">
        <v>3.44</v>
      </c>
      <c r="H606" s="12" t="s">
        <v>11</v>
      </c>
      <c r="I606" s="14" t="s">
        <v>5</v>
      </c>
    </row>
    <row r="607" spans="1:9" ht="15.75">
      <c r="A607" s="44"/>
      <c r="B607" s="37" t="s">
        <v>671</v>
      </c>
      <c r="C607" s="46">
        <v>3.24</v>
      </c>
      <c r="D607" s="10" t="s">
        <v>38</v>
      </c>
      <c r="E607" s="11" t="s">
        <v>5</v>
      </c>
      <c r="F607" s="12" t="s">
        <v>584</v>
      </c>
      <c r="G607" s="13">
        <v>3.44</v>
      </c>
      <c r="H607" s="12" t="s">
        <v>11</v>
      </c>
      <c r="I607" s="14" t="s">
        <v>5</v>
      </c>
    </row>
    <row r="608" spans="1:9" ht="15.75">
      <c r="A608" s="44"/>
      <c r="B608" s="37" t="s">
        <v>641</v>
      </c>
      <c r="C608" s="46">
        <v>3.5</v>
      </c>
      <c r="D608" s="10" t="s">
        <v>38</v>
      </c>
      <c r="E608" s="11" t="s">
        <v>5</v>
      </c>
      <c r="F608" s="12" t="s">
        <v>672</v>
      </c>
      <c r="G608" s="13">
        <v>3.44</v>
      </c>
      <c r="H608" s="12" t="s">
        <v>11</v>
      </c>
      <c r="I608" s="14" t="s">
        <v>39</v>
      </c>
    </row>
    <row r="609" spans="1:9" ht="15.75">
      <c r="A609" s="44"/>
      <c r="B609" s="37" t="s">
        <v>163</v>
      </c>
      <c r="C609" s="46">
        <v>4.16</v>
      </c>
      <c r="D609" s="10" t="s">
        <v>38</v>
      </c>
      <c r="E609" s="11" t="s">
        <v>5</v>
      </c>
      <c r="F609" s="12" t="s">
        <v>598</v>
      </c>
      <c r="G609" s="13">
        <v>3.44</v>
      </c>
      <c r="H609" s="12" t="s">
        <v>11</v>
      </c>
      <c r="I609" s="14" t="s">
        <v>5</v>
      </c>
    </row>
    <row r="610" spans="1:9" ht="15.75">
      <c r="A610" s="44"/>
      <c r="B610" s="37" t="s">
        <v>412</v>
      </c>
      <c r="C610" s="46">
        <v>3.56</v>
      </c>
      <c r="D610" s="10" t="s">
        <v>38</v>
      </c>
      <c r="E610" s="11" t="s">
        <v>5</v>
      </c>
      <c r="F610" s="12" t="s">
        <v>673</v>
      </c>
      <c r="G610" s="13">
        <v>3.44</v>
      </c>
      <c r="H610" s="12" t="s">
        <v>30</v>
      </c>
      <c r="I610" s="14" t="s">
        <v>39</v>
      </c>
    </row>
    <row r="611" spans="1:9" ht="15.75">
      <c r="A611" s="44"/>
      <c r="B611" s="37" t="s">
        <v>335</v>
      </c>
      <c r="C611" s="46">
        <v>3.89</v>
      </c>
      <c r="D611" s="10" t="s">
        <v>38</v>
      </c>
      <c r="E611" s="11" t="s">
        <v>39</v>
      </c>
      <c r="F611" s="12" t="s">
        <v>674</v>
      </c>
      <c r="G611" s="13">
        <v>3.44</v>
      </c>
      <c r="H611" s="12" t="s">
        <v>30</v>
      </c>
      <c r="I611" s="14" t="s">
        <v>5</v>
      </c>
    </row>
    <row r="612" spans="1:9" ht="15.75">
      <c r="A612" s="44"/>
      <c r="B612" s="37" t="s">
        <v>77</v>
      </c>
      <c r="C612" s="46">
        <v>4.41</v>
      </c>
      <c r="D612" s="10" t="s">
        <v>38</v>
      </c>
      <c r="E612" s="11" t="s">
        <v>5</v>
      </c>
      <c r="F612" s="12" t="s">
        <v>675</v>
      </c>
      <c r="G612" s="13">
        <v>3.44</v>
      </c>
      <c r="H612" s="12" t="s">
        <v>11</v>
      </c>
      <c r="I612" s="14" t="s">
        <v>39</v>
      </c>
    </row>
    <row r="613" spans="1:9" ht="15.75">
      <c r="A613" s="44"/>
      <c r="B613" s="37" t="s">
        <v>371</v>
      </c>
      <c r="C613" s="46">
        <v>3.85</v>
      </c>
      <c r="D613" s="10" t="s">
        <v>38</v>
      </c>
      <c r="E613" s="11" t="s">
        <v>5</v>
      </c>
      <c r="F613" s="12" t="s">
        <v>676</v>
      </c>
      <c r="G613" s="13">
        <v>3.44</v>
      </c>
      <c r="H613" s="12" t="s">
        <v>48</v>
      </c>
      <c r="I613" s="14" t="s">
        <v>5</v>
      </c>
    </row>
    <row r="614" spans="1:9" ht="15.75">
      <c r="A614" s="44"/>
      <c r="B614" s="37" t="s">
        <v>63</v>
      </c>
      <c r="C614" s="46">
        <v>4.53</v>
      </c>
      <c r="D614" s="10" t="s">
        <v>38</v>
      </c>
      <c r="E614" s="11" t="s">
        <v>5</v>
      </c>
      <c r="F614" s="12" t="s">
        <v>677</v>
      </c>
      <c r="G614" s="13">
        <v>3.44</v>
      </c>
      <c r="H614" s="12" t="s">
        <v>30</v>
      </c>
      <c r="I614" s="14" t="s">
        <v>39</v>
      </c>
    </row>
    <row r="615" spans="1:9" ht="15.75">
      <c r="A615" s="44"/>
      <c r="B615" s="37" t="s">
        <v>225</v>
      </c>
      <c r="C615" s="46">
        <v>4.05</v>
      </c>
      <c r="D615" s="10" t="s">
        <v>38</v>
      </c>
      <c r="E615" s="11" t="s">
        <v>5</v>
      </c>
      <c r="F615" s="12" t="s">
        <v>678</v>
      </c>
      <c r="G615" s="13">
        <v>3.44</v>
      </c>
      <c r="H615" s="12" t="s">
        <v>102</v>
      </c>
      <c r="I615" s="14" t="s">
        <v>35</v>
      </c>
    </row>
    <row r="616" spans="1:9" ht="15.75">
      <c r="A616" s="44"/>
      <c r="B616" s="37" t="s">
        <v>679</v>
      </c>
      <c r="C616" s="46">
        <v>3.22</v>
      </c>
      <c r="D616" s="10" t="s">
        <v>38</v>
      </c>
      <c r="E616" s="11" t="s">
        <v>5</v>
      </c>
      <c r="F616" s="12" t="s">
        <v>680</v>
      </c>
      <c r="G616" s="13">
        <v>3.44</v>
      </c>
      <c r="H616" s="12" t="s">
        <v>11</v>
      </c>
      <c r="I616" s="14" t="s">
        <v>35</v>
      </c>
    </row>
    <row r="617" spans="1:9" ht="15.75">
      <c r="A617" s="44"/>
      <c r="B617" s="37" t="s">
        <v>579</v>
      </c>
      <c r="C617" s="46">
        <v>3.61</v>
      </c>
      <c r="D617" s="10" t="s">
        <v>38</v>
      </c>
      <c r="E617" s="11" t="s">
        <v>5</v>
      </c>
      <c r="F617" s="12" t="s">
        <v>681</v>
      </c>
      <c r="G617" s="13">
        <v>3.44</v>
      </c>
      <c r="H617" s="12" t="s">
        <v>58</v>
      </c>
      <c r="I617" s="14" t="s">
        <v>35</v>
      </c>
    </row>
    <row r="618" spans="1:9" ht="15.75">
      <c r="B618" s="37" t="s">
        <v>561</v>
      </c>
      <c r="C618" s="46">
        <v>3.63</v>
      </c>
      <c r="D618" s="10" t="s">
        <v>38</v>
      </c>
      <c r="E618" s="11" t="s">
        <v>5</v>
      </c>
      <c r="F618" s="12" t="s">
        <v>207</v>
      </c>
      <c r="G618" s="12">
        <v>3.43</v>
      </c>
      <c r="H618" s="12" t="s">
        <v>4</v>
      </c>
      <c r="I618" s="14" t="s">
        <v>5</v>
      </c>
    </row>
    <row r="619" spans="1:9" ht="15.75">
      <c r="B619" s="37" t="s">
        <v>352</v>
      </c>
      <c r="C619" s="46">
        <v>3.88</v>
      </c>
      <c r="D619" s="10" t="s">
        <v>38</v>
      </c>
      <c r="E619" s="11" t="s">
        <v>5</v>
      </c>
      <c r="F619" s="12" t="s">
        <v>381</v>
      </c>
      <c r="G619" s="12">
        <v>3.43</v>
      </c>
      <c r="H619" s="12" t="s">
        <v>48</v>
      </c>
      <c r="I619" s="14" t="s">
        <v>5</v>
      </c>
    </row>
    <row r="620" spans="1:9" ht="15.75">
      <c r="B620" s="37" t="s">
        <v>265</v>
      </c>
      <c r="C620" s="46">
        <v>4</v>
      </c>
      <c r="D620" s="10" t="s">
        <v>38</v>
      </c>
      <c r="E620" s="11" t="s">
        <v>35</v>
      </c>
      <c r="F620" s="12" t="s">
        <v>41</v>
      </c>
      <c r="G620" s="17">
        <v>3.42</v>
      </c>
      <c r="H620" s="12" t="s">
        <v>4</v>
      </c>
      <c r="I620" s="14" t="s">
        <v>39</v>
      </c>
    </row>
    <row r="621" spans="1:9" ht="15.75">
      <c r="B621" s="37" t="s">
        <v>682</v>
      </c>
      <c r="C621" s="46">
        <v>3.29</v>
      </c>
      <c r="D621" s="10" t="s">
        <v>38</v>
      </c>
      <c r="E621" s="11" t="s">
        <v>5</v>
      </c>
      <c r="F621" s="12" t="s">
        <v>126</v>
      </c>
      <c r="G621" s="12">
        <v>3.42</v>
      </c>
      <c r="H621" s="12" t="s">
        <v>4</v>
      </c>
      <c r="I621" s="14" t="s">
        <v>5</v>
      </c>
    </row>
    <row r="622" spans="1:9" ht="15.75">
      <c r="B622" s="37" t="s">
        <v>539</v>
      </c>
      <c r="C622" s="46">
        <v>3.65</v>
      </c>
      <c r="D622" s="10" t="s">
        <v>38</v>
      </c>
      <c r="E622" s="11" t="s">
        <v>5</v>
      </c>
      <c r="F622" s="12" t="s">
        <v>220</v>
      </c>
      <c r="G622" s="17">
        <v>3.42</v>
      </c>
      <c r="H622" s="12" t="s">
        <v>4</v>
      </c>
      <c r="I622" s="14" t="s">
        <v>5</v>
      </c>
    </row>
    <row r="623" spans="1:9" ht="15.75">
      <c r="B623" s="37" t="s">
        <v>624</v>
      </c>
      <c r="C623" s="46">
        <v>3.53</v>
      </c>
      <c r="D623" s="10" t="s">
        <v>38</v>
      </c>
      <c r="E623" s="11" t="s">
        <v>5</v>
      </c>
      <c r="F623" s="12" t="s">
        <v>240</v>
      </c>
      <c r="G623" s="12">
        <v>3.42</v>
      </c>
      <c r="H623" s="12" t="s">
        <v>4</v>
      </c>
      <c r="I623" s="14" t="s">
        <v>5</v>
      </c>
    </row>
    <row r="624" spans="1:9" ht="15.75">
      <c r="B624" s="37" t="s">
        <v>683</v>
      </c>
      <c r="C624" s="46">
        <v>3.39</v>
      </c>
      <c r="D624" s="10" t="s">
        <v>38</v>
      </c>
      <c r="E624" s="11" t="s">
        <v>5</v>
      </c>
      <c r="F624" s="12" t="s">
        <v>272</v>
      </c>
      <c r="G624" s="12">
        <v>3.42</v>
      </c>
      <c r="H624" s="12" t="s">
        <v>48</v>
      </c>
      <c r="I624" s="14" t="s">
        <v>5</v>
      </c>
    </row>
    <row r="625" spans="2:9" ht="15.75">
      <c r="B625" s="37" t="s">
        <v>591</v>
      </c>
      <c r="C625" s="46">
        <v>3.58</v>
      </c>
      <c r="D625" s="10" t="s">
        <v>38</v>
      </c>
      <c r="E625" s="11" t="s">
        <v>5</v>
      </c>
      <c r="F625" s="12" t="s">
        <v>278</v>
      </c>
      <c r="G625" s="12">
        <v>3.42</v>
      </c>
      <c r="H625" s="12" t="s">
        <v>48</v>
      </c>
      <c r="I625" s="14" t="s">
        <v>35</v>
      </c>
    </row>
    <row r="626" spans="2:9" ht="15.75">
      <c r="B626" s="37" t="s">
        <v>636</v>
      </c>
      <c r="C626" s="46">
        <v>3.35</v>
      </c>
      <c r="D626" s="10" t="s">
        <v>38</v>
      </c>
      <c r="E626" s="11" t="s">
        <v>5</v>
      </c>
      <c r="F626" s="12" t="s">
        <v>312</v>
      </c>
      <c r="G626" s="12">
        <v>3.42</v>
      </c>
      <c r="H626" s="12" t="s">
        <v>48</v>
      </c>
      <c r="I626" s="14" t="s">
        <v>5</v>
      </c>
    </row>
    <row r="627" spans="2:9" ht="15.75">
      <c r="B627" s="37" t="s">
        <v>625</v>
      </c>
      <c r="C627" s="46">
        <v>3.53</v>
      </c>
      <c r="D627" s="10" t="s">
        <v>38</v>
      </c>
      <c r="E627" s="11" t="s">
        <v>5</v>
      </c>
      <c r="F627" s="12" t="s">
        <v>322</v>
      </c>
      <c r="G627" s="17">
        <v>3.42</v>
      </c>
      <c r="H627" s="12" t="s">
        <v>48</v>
      </c>
      <c r="I627" s="14" t="s">
        <v>5</v>
      </c>
    </row>
    <row r="628" spans="2:9" ht="15.75">
      <c r="B628" s="37" t="s">
        <v>185</v>
      </c>
      <c r="C628" s="46">
        <v>4.12</v>
      </c>
      <c r="D628" s="10" t="s">
        <v>38</v>
      </c>
      <c r="E628" s="11" t="s">
        <v>5</v>
      </c>
      <c r="F628" s="12" t="s">
        <v>425</v>
      </c>
      <c r="G628" s="12">
        <v>3.42</v>
      </c>
      <c r="H628" s="12" t="s">
        <v>48</v>
      </c>
      <c r="I628" s="14" t="s">
        <v>5</v>
      </c>
    </row>
    <row r="629" spans="2:9" ht="15.75">
      <c r="B629" s="37" t="s">
        <v>684</v>
      </c>
      <c r="C629" s="46">
        <v>3.42</v>
      </c>
      <c r="D629" s="10" t="s">
        <v>38</v>
      </c>
      <c r="E629" s="11" t="s">
        <v>5</v>
      </c>
      <c r="F629" s="12" t="s">
        <v>431</v>
      </c>
      <c r="G629" s="17">
        <v>3.42</v>
      </c>
      <c r="H629" s="12" t="s">
        <v>48</v>
      </c>
      <c r="I629" s="14" t="s">
        <v>5</v>
      </c>
    </row>
    <row r="630" spans="2:9" ht="15.75">
      <c r="B630" s="37" t="s">
        <v>403</v>
      </c>
      <c r="C630" s="46">
        <v>3.48</v>
      </c>
      <c r="D630" s="10" t="s">
        <v>38</v>
      </c>
      <c r="E630" s="11" t="s">
        <v>5</v>
      </c>
      <c r="F630" s="12" t="s">
        <v>165</v>
      </c>
      <c r="G630" s="17">
        <v>3.42</v>
      </c>
      <c r="H630" s="12" t="s">
        <v>71</v>
      </c>
      <c r="I630" s="14" t="s">
        <v>5</v>
      </c>
    </row>
    <row r="631" spans="2:9" ht="15.75">
      <c r="B631" s="37" t="s">
        <v>601</v>
      </c>
      <c r="C631" s="46">
        <v>3.58</v>
      </c>
      <c r="D631" s="10" t="s">
        <v>38</v>
      </c>
      <c r="E631" s="11" t="s">
        <v>5</v>
      </c>
      <c r="F631" s="12" t="s">
        <v>552</v>
      </c>
      <c r="G631" s="12">
        <v>3.42</v>
      </c>
      <c r="H631" s="12" t="s">
        <v>71</v>
      </c>
      <c r="I631" s="14" t="s">
        <v>35</v>
      </c>
    </row>
    <row r="632" spans="2:9" ht="15.75">
      <c r="B632" s="37" t="s">
        <v>627</v>
      </c>
      <c r="C632" s="46">
        <v>3.53</v>
      </c>
      <c r="D632" s="10" t="s">
        <v>38</v>
      </c>
      <c r="E632" s="11" t="s">
        <v>5</v>
      </c>
      <c r="F632" s="12" t="s">
        <v>165</v>
      </c>
      <c r="G632" s="12">
        <v>3.42</v>
      </c>
      <c r="H632" s="12" t="s">
        <v>58</v>
      </c>
      <c r="I632" s="14" t="s">
        <v>5</v>
      </c>
    </row>
    <row r="633" spans="2:9" ht="15.75">
      <c r="B633" s="35" t="s">
        <v>605</v>
      </c>
      <c r="C633" s="47">
        <v>3.15</v>
      </c>
      <c r="D633" s="10" t="s">
        <v>38</v>
      </c>
      <c r="E633" s="11" t="s">
        <v>5</v>
      </c>
      <c r="F633" s="12" t="s">
        <v>649</v>
      </c>
      <c r="G633" s="17">
        <v>3.42</v>
      </c>
      <c r="H633" s="12" t="s">
        <v>38</v>
      </c>
      <c r="I633" s="14" t="s">
        <v>5</v>
      </c>
    </row>
    <row r="634" spans="2:9" ht="15.75">
      <c r="B634" s="48" t="s">
        <v>685</v>
      </c>
      <c r="C634" s="46">
        <v>3.34</v>
      </c>
      <c r="D634" s="10" t="s">
        <v>102</v>
      </c>
      <c r="E634" s="11" t="s">
        <v>35</v>
      </c>
      <c r="F634" s="12" t="s">
        <v>165</v>
      </c>
      <c r="G634" s="17">
        <v>3.42</v>
      </c>
      <c r="H634" s="12" t="s">
        <v>38</v>
      </c>
      <c r="I634" s="14" t="s">
        <v>5</v>
      </c>
    </row>
    <row r="635" spans="2:9" ht="15.75">
      <c r="B635" s="49" t="s">
        <v>461</v>
      </c>
      <c r="C635" s="47">
        <v>3.16</v>
      </c>
      <c r="D635" s="10" t="s">
        <v>102</v>
      </c>
      <c r="E635" s="11" t="s">
        <v>5</v>
      </c>
      <c r="F635" s="12" t="s">
        <v>684</v>
      </c>
      <c r="G635" s="13">
        <v>3.42</v>
      </c>
      <c r="H635" s="12" t="s">
        <v>38</v>
      </c>
      <c r="I635" s="14" t="s">
        <v>5</v>
      </c>
    </row>
    <row r="636" spans="2:9" ht="15.75">
      <c r="B636" s="48" t="s">
        <v>469</v>
      </c>
      <c r="C636" s="46">
        <v>3.21</v>
      </c>
      <c r="D636" s="10" t="s">
        <v>102</v>
      </c>
      <c r="E636" s="11" t="s">
        <v>5</v>
      </c>
      <c r="F636" s="12" t="s">
        <v>165</v>
      </c>
      <c r="G636" s="13">
        <v>3.42</v>
      </c>
      <c r="H636" s="12" t="s">
        <v>102</v>
      </c>
      <c r="I636" s="14" t="s">
        <v>5</v>
      </c>
    </row>
    <row r="637" spans="2:9" ht="15.75">
      <c r="B637" s="48" t="s">
        <v>472</v>
      </c>
      <c r="C637" s="46">
        <v>3.66</v>
      </c>
      <c r="D637" s="10" t="s">
        <v>102</v>
      </c>
      <c r="E637" s="11" t="s">
        <v>5</v>
      </c>
      <c r="F637" s="12" t="s">
        <v>165</v>
      </c>
      <c r="G637" s="13">
        <v>3.42</v>
      </c>
      <c r="H637" s="12" t="s">
        <v>11</v>
      </c>
      <c r="I637" s="14" t="s">
        <v>5</v>
      </c>
    </row>
    <row r="638" spans="2:9" ht="15.75">
      <c r="B638" s="48" t="s">
        <v>336</v>
      </c>
      <c r="C638" s="46">
        <v>3.89</v>
      </c>
      <c r="D638" s="10" t="s">
        <v>102</v>
      </c>
      <c r="E638" s="11" t="s">
        <v>5</v>
      </c>
      <c r="F638" s="12" t="s">
        <v>41</v>
      </c>
      <c r="G638" s="13">
        <v>3.42</v>
      </c>
      <c r="H638" s="12" t="s">
        <v>30</v>
      </c>
      <c r="I638" s="14" t="s">
        <v>5</v>
      </c>
    </row>
    <row r="639" spans="2:9" ht="15.75">
      <c r="B639" s="48" t="s">
        <v>473</v>
      </c>
      <c r="C639" s="46">
        <v>3.75</v>
      </c>
      <c r="D639" s="10" t="s">
        <v>102</v>
      </c>
      <c r="E639" s="11" t="s">
        <v>5</v>
      </c>
      <c r="F639" s="12" t="s">
        <v>686</v>
      </c>
      <c r="G639" s="13">
        <v>3.42</v>
      </c>
      <c r="H639" s="12" t="s">
        <v>30</v>
      </c>
      <c r="I639" s="14" t="s">
        <v>5</v>
      </c>
    </row>
    <row r="640" spans="2:9" ht="15.75">
      <c r="B640" s="48" t="s">
        <v>482</v>
      </c>
      <c r="C640" s="46">
        <v>3.4</v>
      </c>
      <c r="D640" s="10" t="s">
        <v>102</v>
      </c>
      <c r="E640" s="11" t="s">
        <v>5</v>
      </c>
      <c r="F640" s="12" t="s">
        <v>687</v>
      </c>
      <c r="G640" s="13">
        <v>3.42</v>
      </c>
      <c r="H640" s="12" t="s">
        <v>30</v>
      </c>
      <c r="I640" s="14" t="s">
        <v>39</v>
      </c>
    </row>
    <row r="641" spans="2:9" ht="15.75">
      <c r="B641" s="48" t="s">
        <v>484</v>
      </c>
      <c r="C641" s="46">
        <v>3.52</v>
      </c>
      <c r="D641" s="10" t="s">
        <v>102</v>
      </c>
      <c r="E641" s="11" t="s">
        <v>5</v>
      </c>
      <c r="F641" s="12" t="s">
        <v>688</v>
      </c>
      <c r="G641" s="13">
        <v>3.42</v>
      </c>
      <c r="H641" s="12" t="s">
        <v>30</v>
      </c>
      <c r="I641" s="14" t="s">
        <v>39</v>
      </c>
    </row>
    <row r="642" spans="2:9" ht="15.75">
      <c r="B642" s="48" t="s">
        <v>612</v>
      </c>
      <c r="C642" s="46">
        <v>3.56</v>
      </c>
      <c r="D642" s="10" t="s">
        <v>102</v>
      </c>
      <c r="E642" s="11" t="s">
        <v>5</v>
      </c>
      <c r="F642" s="12" t="s">
        <v>689</v>
      </c>
      <c r="G642" s="13">
        <v>3.42</v>
      </c>
      <c r="H642" s="12" t="s">
        <v>30</v>
      </c>
      <c r="I642" s="14" t="s">
        <v>5</v>
      </c>
    </row>
    <row r="643" spans="2:9" ht="15.75">
      <c r="B643" s="48" t="s">
        <v>348</v>
      </c>
      <c r="C643" s="46">
        <v>3.88</v>
      </c>
      <c r="D643" s="10" t="s">
        <v>102</v>
      </c>
      <c r="E643" s="11" t="s">
        <v>5</v>
      </c>
      <c r="F643" s="12" t="s">
        <v>690</v>
      </c>
      <c r="G643" s="13">
        <v>3.42</v>
      </c>
      <c r="H643" s="12" t="s">
        <v>58</v>
      </c>
      <c r="I643" s="14" t="s">
        <v>5</v>
      </c>
    </row>
    <row r="644" spans="2:9" ht="15.75">
      <c r="B644" s="48" t="s">
        <v>490</v>
      </c>
      <c r="C644" s="38">
        <v>3.2</v>
      </c>
      <c r="D644" s="10" t="s">
        <v>102</v>
      </c>
      <c r="E644" s="11" t="s">
        <v>5</v>
      </c>
      <c r="F644" s="12" t="s">
        <v>691</v>
      </c>
      <c r="G644" s="13">
        <v>3.42</v>
      </c>
      <c r="H644" s="12" t="s">
        <v>102</v>
      </c>
      <c r="I644" s="14" t="s">
        <v>5</v>
      </c>
    </row>
    <row r="645" spans="2:9" ht="15.75">
      <c r="B645" s="48" t="s">
        <v>619</v>
      </c>
      <c r="C645" s="46">
        <v>3.55</v>
      </c>
      <c r="D645" s="10" t="s">
        <v>102</v>
      </c>
      <c r="E645" s="11" t="s">
        <v>5</v>
      </c>
      <c r="F645" s="12" t="s">
        <v>690</v>
      </c>
      <c r="G645" s="13">
        <v>3.42</v>
      </c>
      <c r="H645" s="12" t="s">
        <v>11</v>
      </c>
      <c r="I645" s="14" t="s">
        <v>5</v>
      </c>
    </row>
    <row r="646" spans="2:9" ht="15.75">
      <c r="B646" s="48" t="s">
        <v>165</v>
      </c>
      <c r="C646" s="46">
        <v>3.42</v>
      </c>
      <c r="D646" s="10" t="s">
        <v>102</v>
      </c>
      <c r="E646" s="11" t="s">
        <v>5</v>
      </c>
      <c r="F646" s="12" t="s">
        <v>26</v>
      </c>
      <c r="G646" s="17">
        <v>3.4</v>
      </c>
      <c r="H646" s="12" t="s">
        <v>4</v>
      </c>
      <c r="I646" s="14" t="s">
        <v>5</v>
      </c>
    </row>
    <row r="647" spans="2:9" ht="15.75">
      <c r="B647" s="48" t="s">
        <v>692</v>
      </c>
      <c r="C647" s="38">
        <v>3.05</v>
      </c>
      <c r="D647" s="10" t="s">
        <v>102</v>
      </c>
      <c r="E647" s="11" t="s">
        <v>5</v>
      </c>
      <c r="F647" s="12" t="s">
        <v>33</v>
      </c>
      <c r="G647" s="17">
        <v>3.4</v>
      </c>
      <c r="H647" s="12" t="s">
        <v>4</v>
      </c>
      <c r="I647" s="14" t="s">
        <v>5</v>
      </c>
    </row>
    <row r="648" spans="2:9" ht="15.75">
      <c r="B648" s="48" t="s">
        <v>505</v>
      </c>
      <c r="C648" s="46">
        <v>3.38</v>
      </c>
      <c r="D648" s="10" t="s">
        <v>102</v>
      </c>
      <c r="E648" s="11" t="s">
        <v>5</v>
      </c>
      <c r="F648" s="12" t="s">
        <v>261</v>
      </c>
      <c r="G648" s="12">
        <v>3.4</v>
      </c>
      <c r="H648" s="12" t="s">
        <v>48</v>
      </c>
      <c r="I648" s="14" t="s">
        <v>5</v>
      </c>
    </row>
    <row r="649" spans="2:9" ht="15.75">
      <c r="B649" s="48" t="s">
        <v>511</v>
      </c>
      <c r="C649" s="46">
        <v>3.36</v>
      </c>
      <c r="D649" s="10" t="s">
        <v>102</v>
      </c>
      <c r="E649" s="11" t="s">
        <v>5</v>
      </c>
      <c r="F649" s="12" t="s">
        <v>283</v>
      </c>
      <c r="G649" s="12">
        <v>3.4</v>
      </c>
      <c r="H649" s="12" t="s">
        <v>48</v>
      </c>
      <c r="I649" s="14" t="s">
        <v>5</v>
      </c>
    </row>
    <row r="650" spans="2:9" ht="15.75">
      <c r="B650" s="48" t="s">
        <v>512</v>
      </c>
      <c r="C650" s="46">
        <v>3.15</v>
      </c>
      <c r="D650" s="10" t="s">
        <v>102</v>
      </c>
      <c r="E650" s="11" t="s">
        <v>5</v>
      </c>
      <c r="F650" s="12" t="s">
        <v>467</v>
      </c>
      <c r="G650" s="12">
        <v>3.4</v>
      </c>
      <c r="H650" s="12" t="s">
        <v>71</v>
      </c>
      <c r="I650" s="14" t="s">
        <v>5</v>
      </c>
    </row>
    <row r="651" spans="2:9" ht="15.75">
      <c r="B651" s="48" t="s">
        <v>670</v>
      </c>
      <c r="C651" s="46">
        <v>3.44</v>
      </c>
      <c r="D651" s="10" t="s">
        <v>102</v>
      </c>
      <c r="E651" s="11" t="s">
        <v>5</v>
      </c>
      <c r="F651" s="12" t="s">
        <v>482</v>
      </c>
      <c r="G651" s="17">
        <v>3.4</v>
      </c>
      <c r="H651" s="12" t="s">
        <v>71</v>
      </c>
      <c r="I651" s="14" t="s">
        <v>39</v>
      </c>
    </row>
    <row r="652" spans="2:9" ht="15.75">
      <c r="B652" s="48" t="s">
        <v>514</v>
      </c>
      <c r="C652" s="46">
        <v>3.23</v>
      </c>
      <c r="D652" s="10" t="s">
        <v>102</v>
      </c>
      <c r="E652" s="11" t="s">
        <v>5</v>
      </c>
      <c r="F652" s="12" t="s">
        <v>643</v>
      </c>
      <c r="G652" s="17">
        <v>3.4</v>
      </c>
      <c r="H652" s="12" t="s">
        <v>38</v>
      </c>
      <c r="I652" s="14" t="s">
        <v>5</v>
      </c>
    </row>
    <row r="653" spans="2:9" ht="15.75">
      <c r="B653" s="48" t="s">
        <v>101</v>
      </c>
      <c r="C653" s="46">
        <v>4.33</v>
      </c>
      <c r="D653" s="10" t="s">
        <v>102</v>
      </c>
      <c r="E653" s="11" t="s">
        <v>5</v>
      </c>
      <c r="F653" s="12" t="s">
        <v>651</v>
      </c>
      <c r="G653" s="17">
        <v>3.4</v>
      </c>
      <c r="H653" s="12" t="s">
        <v>38</v>
      </c>
      <c r="I653" s="14" t="s">
        <v>5</v>
      </c>
    </row>
    <row r="654" spans="2:9" ht="15.75">
      <c r="B654" s="48" t="s">
        <v>642</v>
      </c>
      <c r="C654" s="38">
        <v>3.5</v>
      </c>
      <c r="D654" s="10" t="s">
        <v>102</v>
      </c>
      <c r="E654" s="11" t="s">
        <v>5</v>
      </c>
      <c r="F654" s="12" t="s">
        <v>482</v>
      </c>
      <c r="G654" s="13">
        <v>3.4</v>
      </c>
      <c r="H654" s="12" t="s">
        <v>102</v>
      </c>
      <c r="I654" s="14" t="s">
        <v>5</v>
      </c>
    </row>
    <row r="655" spans="2:9" ht="15.75">
      <c r="B655" s="48" t="s">
        <v>524</v>
      </c>
      <c r="C655" s="46">
        <v>3.66</v>
      </c>
      <c r="D655" s="10" t="s">
        <v>102</v>
      </c>
      <c r="E655" s="11" t="s">
        <v>5</v>
      </c>
      <c r="F655" s="12" t="s">
        <v>693</v>
      </c>
      <c r="G655" s="13">
        <v>3.4</v>
      </c>
      <c r="H655" s="12" t="s">
        <v>102</v>
      </c>
      <c r="I655" s="14" t="s">
        <v>35</v>
      </c>
    </row>
    <row r="656" spans="2:9" ht="15.75">
      <c r="B656" s="48" t="s">
        <v>518</v>
      </c>
      <c r="C656" s="46">
        <v>3.52</v>
      </c>
      <c r="D656" s="10" t="s">
        <v>102</v>
      </c>
      <c r="E656" s="11" t="s">
        <v>39</v>
      </c>
      <c r="F656" s="12" t="s">
        <v>467</v>
      </c>
      <c r="G656" s="12">
        <v>3.4</v>
      </c>
      <c r="H656" s="12" t="s">
        <v>11</v>
      </c>
      <c r="I656" s="14" t="s">
        <v>5</v>
      </c>
    </row>
    <row r="657" spans="2:9" ht="15.75">
      <c r="B657" s="48" t="s">
        <v>694</v>
      </c>
      <c r="C657" s="46">
        <v>3.28</v>
      </c>
      <c r="D657" s="10" t="s">
        <v>102</v>
      </c>
      <c r="E657" s="11" t="s">
        <v>5</v>
      </c>
      <c r="F657" s="12" t="s">
        <v>695</v>
      </c>
      <c r="G657" s="13">
        <v>3.4</v>
      </c>
      <c r="H657" s="12" t="s">
        <v>30</v>
      </c>
      <c r="I657" s="14" t="s">
        <v>5</v>
      </c>
    </row>
    <row r="658" spans="2:9" ht="15.75">
      <c r="B658" s="48" t="s">
        <v>521</v>
      </c>
      <c r="C658" s="46">
        <v>3.32</v>
      </c>
      <c r="D658" s="10" t="s">
        <v>102</v>
      </c>
      <c r="E658" s="11" t="s">
        <v>5</v>
      </c>
      <c r="F658" s="12" t="s">
        <v>696</v>
      </c>
      <c r="G658" s="13">
        <v>3.4</v>
      </c>
      <c r="H658" s="12" t="s">
        <v>58</v>
      </c>
      <c r="I658" s="14" t="s">
        <v>5</v>
      </c>
    </row>
    <row r="659" spans="2:9" ht="15.75">
      <c r="B659" s="48" t="s">
        <v>523</v>
      </c>
      <c r="C659" s="46">
        <v>3.53</v>
      </c>
      <c r="D659" s="10" t="s">
        <v>102</v>
      </c>
      <c r="E659" s="11" t="s">
        <v>5</v>
      </c>
      <c r="F659" s="12" t="s">
        <v>675</v>
      </c>
      <c r="G659" s="13">
        <v>3.4</v>
      </c>
      <c r="H659" s="12" t="s">
        <v>102</v>
      </c>
      <c r="I659" s="14" t="s">
        <v>5</v>
      </c>
    </row>
    <row r="660" spans="2:9" ht="15.75">
      <c r="B660" s="50" t="s">
        <v>525</v>
      </c>
      <c r="C660" s="46">
        <v>3.31</v>
      </c>
      <c r="D660" s="10" t="s">
        <v>102</v>
      </c>
      <c r="E660" s="11" t="s">
        <v>5</v>
      </c>
      <c r="F660" s="12" t="s">
        <v>697</v>
      </c>
      <c r="G660" s="12">
        <v>3.4</v>
      </c>
      <c r="H660" s="12" t="s">
        <v>102</v>
      </c>
      <c r="I660" s="14" t="s">
        <v>35</v>
      </c>
    </row>
    <row r="661" spans="2:9" ht="15.75">
      <c r="B661" s="48" t="s">
        <v>342</v>
      </c>
      <c r="C661" s="46">
        <v>3.32</v>
      </c>
      <c r="D661" s="10" t="s">
        <v>102</v>
      </c>
      <c r="E661" s="11" t="s">
        <v>5</v>
      </c>
      <c r="F661" s="12" t="s">
        <v>698</v>
      </c>
      <c r="G661" s="12">
        <v>3.4</v>
      </c>
      <c r="H661" s="12" t="s">
        <v>71</v>
      </c>
      <c r="I661" s="14" t="s">
        <v>35</v>
      </c>
    </row>
    <row r="662" spans="2:9" ht="15.75">
      <c r="B662" s="50" t="s">
        <v>527</v>
      </c>
      <c r="C662" s="46">
        <v>3.21</v>
      </c>
      <c r="D662" s="10" t="s">
        <v>102</v>
      </c>
      <c r="E662" s="11" t="s">
        <v>5</v>
      </c>
      <c r="F662" s="12" t="s">
        <v>29</v>
      </c>
      <c r="G662" s="17">
        <v>3.39</v>
      </c>
      <c r="H662" s="12" t="s">
        <v>4</v>
      </c>
      <c r="I662" s="14" t="s">
        <v>5</v>
      </c>
    </row>
    <row r="663" spans="2:9" ht="15.75">
      <c r="B663" s="50" t="s">
        <v>530</v>
      </c>
      <c r="C663" s="46">
        <v>3.36</v>
      </c>
      <c r="D663" s="10" t="s">
        <v>102</v>
      </c>
      <c r="E663" s="11" t="s">
        <v>5</v>
      </c>
      <c r="F663" s="12" t="s">
        <v>437</v>
      </c>
      <c r="G663" s="12">
        <v>3.39</v>
      </c>
      <c r="H663" s="12" t="s">
        <v>48</v>
      </c>
      <c r="I663" s="14" t="s">
        <v>5</v>
      </c>
    </row>
    <row r="664" spans="2:9" ht="15.75">
      <c r="B664" s="50" t="s">
        <v>376</v>
      </c>
      <c r="C664" s="46">
        <v>3.26</v>
      </c>
      <c r="D664" s="10" t="s">
        <v>102</v>
      </c>
      <c r="E664" s="11" t="s">
        <v>5</v>
      </c>
      <c r="F664" s="12" t="s">
        <v>600</v>
      </c>
      <c r="G664" s="17">
        <v>3.39</v>
      </c>
      <c r="H664" s="12" t="s">
        <v>71</v>
      </c>
      <c r="I664" s="14" t="s">
        <v>5</v>
      </c>
    </row>
    <row r="665" spans="2:9" ht="15.75">
      <c r="B665" s="48" t="s">
        <v>544</v>
      </c>
      <c r="C665" s="46">
        <v>3.25</v>
      </c>
      <c r="D665" s="10" t="s">
        <v>102</v>
      </c>
      <c r="E665" s="11" t="s">
        <v>39</v>
      </c>
      <c r="F665" s="12" t="s">
        <v>603</v>
      </c>
      <c r="G665" s="12">
        <v>3.39</v>
      </c>
      <c r="H665" s="12" t="s">
        <v>71</v>
      </c>
      <c r="I665" s="14" t="s">
        <v>5</v>
      </c>
    </row>
    <row r="666" spans="2:9" ht="15.75">
      <c r="B666" s="48" t="s">
        <v>545</v>
      </c>
      <c r="C666" s="46">
        <v>3.21</v>
      </c>
      <c r="D666" s="10" t="s">
        <v>102</v>
      </c>
      <c r="E666" s="11" t="s">
        <v>5</v>
      </c>
      <c r="F666" s="12" t="s">
        <v>603</v>
      </c>
      <c r="G666" s="17">
        <v>3.39</v>
      </c>
      <c r="H666" s="12" t="s">
        <v>58</v>
      </c>
      <c r="I666" s="14" t="s">
        <v>5</v>
      </c>
    </row>
    <row r="667" spans="2:9" ht="15.75">
      <c r="B667" s="48" t="s">
        <v>388</v>
      </c>
      <c r="C667" s="46">
        <v>3.84</v>
      </c>
      <c r="D667" s="10" t="s">
        <v>102</v>
      </c>
      <c r="E667" s="11" t="s">
        <v>5</v>
      </c>
      <c r="F667" s="12" t="s">
        <v>645</v>
      </c>
      <c r="G667" s="17">
        <v>3.39</v>
      </c>
      <c r="H667" s="12" t="s">
        <v>38</v>
      </c>
      <c r="I667" s="14" t="s">
        <v>5</v>
      </c>
    </row>
    <row r="668" spans="2:9" ht="15.75">
      <c r="B668" s="48" t="s">
        <v>389</v>
      </c>
      <c r="C668" s="46">
        <v>3.35</v>
      </c>
      <c r="D668" s="10" t="s">
        <v>102</v>
      </c>
      <c r="E668" s="11" t="s">
        <v>5</v>
      </c>
      <c r="F668" s="12" t="s">
        <v>683</v>
      </c>
      <c r="G668" s="13">
        <v>3.39</v>
      </c>
      <c r="H668" s="12" t="s">
        <v>38</v>
      </c>
      <c r="I668" s="14" t="s">
        <v>5</v>
      </c>
    </row>
    <row r="669" spans="2:9" ht="15.75">
      <c r="B669" s="48" t="s">
        <v>547</v>
      </c>
      <c r="C669" s="46">
        <v>3.17</v>
      </c>
      <c r="D669" s="10" t="s">
        <v>102</v>
      </c>
      <c r="E669" s="11" t="s">
        <v>5</v>
      </c>
      <c r="F669" s="12" t="s">
        <v>699</v>
      </c>
      <c r="G669" s="13">
        <v>3.39</v>
      </c>
      <c r="H669" s="12" t="s">
        <v>102</v>
      </c>
      <c r="I669" s="14" t="s">
        <v>5</v>
      </c>
    </row>
    <row r="670" spans="2:9" ht="15.75">
      <c r="B670" s="48" t="s">
        <v>549</v>
      </c>
      <c r="C670" s="46">
        <v>3.27</v>
      </c>
      <c r="D670" s="10" t="s">
        <v>102</v>
      </c>
      <c r="E670" s="11" t="s">
        <v>5</v>
      </c>
      <c r="F670" s="12" t="s">
        <v>700</v>
      </c>
      <c r="G670" s="13">
        <v>3.39</v>
      </c>
      <c r="H670" s="12" t="s">
        <v>30</v>
      </c>
      <c r="I670" s="14" t="s">
        <v>5</v>
      </c>
    </row>
    <row r="671" spans="2:9" ht="15.75">
      <c r="B671" s="48" t="s">
        <v>466</v>
      </c>
      <c r="C671" s="46">
        <v>3.76</v>
      </c>
      <c r="D671" s="10" t="s">
        <v>102</v>
      </c>
      <c r="E671" s="11" t="s">
        <v>5</v>
      </c>
      <c r="F671" s="12" t="s">
        <v>359</v>
      </c>
      <c r="G671" s="12">
        <v>3.38</v>
      </c>
      <c r="H671" s="12" t="s">
        <v>48</v>
      </c>
      <c r="I671" s="14" t="s">
        <v>5</v>
      </c>
    </row>
    <row r="672" spans="2:9" ht="15.75">
      <c r="B672" s="48" t="s">
        <v>556</v>
      </c>
      <c r="C672" s="46">
        <v>3.2</v>
      </c>
      <c r="D672" s="10" t="s">
        <v>102</v>
      </c>
      <c r="E672" s="11" t="s">
        <v>5</v>
      </c>
      <c r="F672" s="12" t="s">
        <v>474</v>
      </c>
      <c r="G672" s="12">
        <v>3.38</v>
      </c>
      <c r="H672" s="12" t="s">
        <v>71</v>
      </c>
      <c r="I672" s="14" t="s">
        <v>5</v>
      </c>
    </row>
    <row r="673" spans="2:9" ht="15.75">
      <c r="B673" s="48" t="s">
        <v>576</v>
      </c>
      <c r="C673" s="46">
        <v>3.22</v>
      </c>
      <c r="D673" s="10" t="s">
        <v>102</v>
      </c>
      <c r="E673" s="11" t="s">
        <v>5</v>
      </c>
      <c r="F673" s="12" t="s">
        <v>505</v>
      </c>
      <c r="G673" s="12">
        <v>3.38</v>
      </c>
      <c r="H673" s="12" t="s">
        <v>71</v>
      </c>
      <c r="I673" s="14" t="s">
        <v>5</v>
      </c>
    </row>
    <row r="674" spans="2:9" ht="15.75">
      <c r="B674" s="48" t="s">
        <v>577</v>
      </c>
      <c r="C674" s="46">
        <v>3.22</v>
      </c>
      <c r="D674" s="10" t="s">
        <v>102</v>
      </c>
      <c r="E674" s="11" t="s">
        <v>5</v>
      </c>
      <c r="F674" s="12" t="s">
        <v>505</v>
      </c>
      <c r="G674" s="17">
        <v>3.38</v>
      </c>
      <c r="H674" s="12" t="s">
        <v>58</v>
      </c>
      <c r="I674" s="14" t="s">
        <v>5</v>
      </c>
    </row>
    <row r="675" spans="2:9" ht="15.75">
      <c r="B675" s="48" t="s">
        <v>701</v>
      </c>
      <c r="C675" s="46">
        <v>3.33</v>
      </c>
      <c r="D675" s="10" t="s">
        <v>102</v>
      </c>
      <c r="E675" s="11" t="s">
        <v>39</v>
      </c>
      <c r="F675" s="12" t="s">
        <v>645</v>
      </c>
      <c r="G675" s="17">
        <v>3.38</v>
      </c>
      <c r="H675" s="12" t="s">
        <v>38</v>
      </c>
      <c r="I675" s="14" t="s">
        <v>5</v>
      </c>
    </row>
    <row r="676" spans="2:9" ht="15.75">
      <c r="B676" s="48" t="s">
        <v>580</v>
      </c>
      <c r="C676" s="46">
        <v>3.35</v>
      </c>
      <c r="D676" s="10" t="s">
        <v>102</v>
      </c>
      <c r="E676" s="11" t="s">
        <v>5</v>
      </c>
      <c r="F676" s="12" t="s">
        <v>505</v>
      </c>
      <c r="G676" s="13">
        <v>3.38</v>
      </c>
      <c r="H676" s="12" t="s">
        <v>102</v>
      </c>
      <c r="I676" s="14" t="s">
        <v>5</v>
      </c>
    </row>
    <row r="677" spans="2:9" ht="15.75">
      <c r="B677" s="48" t="s">
        <v>403</v>
      </c>
      <c r="C677" s="46">
        <v>3.47</v>
      </c>
      <c r="D677" s="10" t="s">
        <v>102</v>
      </c>
      <c r="E677" s="11" t="s">
        <v>5</v>
      </c>
      <c r="F677" s="12" t="s">
        <v>505</v>
      </c>
      <c r="G677" s="13">
        <v>3.38</v>
      </c>
      <c r="H677" s="12" t="s">
        <v>11</v>
      </c>
      <c r="I677" s="14" t="s">
        <v>5</v>
      </c>
    </row>
    <row r="678" spans="2:9" ht="15.75">
      <c r="B678" s="48" t="s">
        <v>679</v>
      </c>
      <c r="C678" s="46">
        <v>3.22</v>
      </c>
      <c r="D678" s="10" t="s">
        <v>102</v>
      </c>
      <c r="E678" s="11" t="s">
        <v>5</v>
      </c>
      <c r="F678" s="12" t="s">
        <v>702</v>
      </c>
      <c r="G678" s="13">
        <v>3.38</v>
      </c>
      <c r="H678" s="12" t="s">
        <v>30</v>
      </c>
      <c r="I678" s="14" t="s">
        <v>5</v>
      </c>
    </row>
    <row r="679" spans="2:9" ht="15.75">
      <c r="B679" s="48" t="s">
        <v>294</v>
      </c>
      <c r="C679" s="46">
        <v>3.79</v>
      </c>
      <c r="D679" s="10" t="s">
        <v>102</v>
      </c>
      <c r="E679" s="11" t="s">
        <v>5</v>
      </c>
      <c r="F679" s="12" t="s">
        <v>69</v>
      </c>
      <c r="G679" s="17">
        <v>3.37</v>
      </c>
      <c r="H679" s="12" t="s">
        <v>4</v>
      </c>
      <c r="I679" s="14" t="s">
        <v>5</v>
      </c>
    </row>
    <row r="680" spans="2:9" ht="15.75">
      <c r="B680" s="48" t="s">
        <v>165</v>
      </c>
      <c r="C680" s="46">
        <v>4.16</v>
      </c>
      <c r="D680" s="10" t="s">
        <v>102</v>
      </c>
      <c r="E680" s="11" t="s">
        <v>5</v>
      </c>
      <c r="F680" s="12" t="s">
        <v>255</v>
      </c>
      <c r="G680" s="12">
        <v>3.37</v>
      </c>
      <c r="H680" s="12" t="s">
        <v>48</v>
      </c>
      <c r="I680" s="14" t="s">
        <v>5</v>
      </c>
    </row>
    <row r="681" spans="2:9" ht="15.75">
      <c r="B681" s="48" t="s">
        <v>623</v>
      </c>
      <c r="C681" s="46">
        <v>3.53</v>
      </c>
      <c r="D681" s="10" t="s">
        <v>102</v>
      </c>
      <c r="E681" s="11" t="s">
        <v>5</v>
      </c>
      <c r="F681" s="12" t="s">
        <v>307</v>
      </c>
      <c r="G681" s="12">
        <v>3.37</v>
      </c>
      <c r="H681" s="12" t="s">
        <v>48</v>
      </c>
      <c r="I681" s="14" t="s">
        <v>5</v>
      </c>
    </row>
    <row r="682" spans="2:9" ht="15.75">
      <c r="B682" s="48" t="s">
        <v>703</v>
      </c>
      <c r="C682" s="46">
        <v>3</v>
      </c>
      <c r="D682" s="10" t="s">
        <v>102</v>
      </c>
      <c r="E682" s="11" t="s">
        <v>39</v>
      </c>
      <c r="F682" s="12" t="s">
        <v>704</v>
      </c>
      <c r="G682" s="13">
        <v>3.37</v>
      </c>
      <c r="H682" s="12" t="s">
        <v>30</v>
      </c>
      <c r="I682" s="14" t="s">
        <v>5</v>
      </c>
    </row>
    <row r="683" spans="2:9" ht="15.75">
      <c r="B683" s="48" t="s">
        <v>705</v>
      </c>
      <c r="C683" s="46">
        <v>3.05</v>
      </c>
      <c r="D683" s="10" t="s">
        <v>102</v>
      </c>
      <c r="E683" s="11" t="s">
        <v>35</v>
      </c>
      <c r="F683" s="12" t="s">
        <v>706</v>
      </c>
      <c r="G683" s="13">
        <v>3.37</v>
      </c>
      <c r="H683" s="12" t="s">
        <v>30</v>
      </c>
      <c r="I683" s="14" t="s">
        <v>39</v>
      </c>
    </row>
    <row r="684" spans="2:9" ht="15.75">
      <c r="B684" s="48" t="s">
        <v>707</v>
      </c>
      <c r="C684" s="46">
        <v>3.32</v>
      </c>
      <c r="D684" s="10" t="s">
        <v>102</v>
      </c>
      <c r="E684" s="11" t="s">
        <v>35</v>
      </c>
      <c r="F684" s="12" t="s">
        <v>708</v>
      </c>
      <c r="G684" s="13">
        <v>3.37</v>
      </c>
      <c r="H684" s="12" t="s">
        <v>71</v>
      </c>
      <c r="I684" s="14" t="s">
        <v>5</v>
      </c>
    </row>
    <row r="685" spans="2:9" ht="15.75">
      <c r="B685" s="48" t="s">
        <v>693</v>
      </c>
      <c r="C685" s="46">
        <v>3.4</v>
      </c>
      <c r="D685" s="10" t="s">
        <v>102</v>
      </c>
      <c r="E685" s="11" t="s">
        <v>35</v>
      </c>
      <c r="F685" s="12" t="s">
        <v>708</v>
      </c>
      <c r="G685" s="13">
        <v>3.37</v>
      </c>
      <c r="H685" s="12" t="s">
        <v>11</v>
      </c>
      <c r="I685" s="14" t="s">
        <v>5</v>
      </c>
    </row>
    <row r="686" spans="2:9" ht="15.75">
      <c r="B686" s="48" t="s">
        <v>699</v>
      </c>
      <c r="C686" s="46">
        <v>3.39</v>
      </c>
      <c r="D686" s="10" t="s">
        <v>102</v>
      </c>
      <c r="E686" s="11" t="s">
        <v>5</v>
      </c>
      <c r="F686" s="12" t="s">
        <v>708</v>
      </c>
      <c r="G686" s="13">
        <v>3.37</v>
      </c>
      <c r="H686" s="12" t="s">
        <v>11</v>
      </c>
      <c r="I686" s="14" t="s">
        <v>35</v>
      </c>
    </row>
    <row r="687" spans="2:9" ht="15.75">
      <c r="B687" s="48" t="s">
        <v>494</v>
      </c>
      <c r="C687" s="46">
        <v>3.26</v>
      </c>
      <c r="D687" s="10" t="s">
        <v>102</v>
      </c>
      <c r="E687" s="11" t="s">
        <v>5</v>
      </c>
      <c r="F687" s="12" t="s">
        <v>164</v>
      </c>
      <c r="G687" s="17">
        <v>3.36</v>
      </c>
      <c r="H687" s="12" t="s">
        <v>4</v>
      </c>
      <c r="I687" s="14" t="s">
        <v>5</v>
      </c>
    </row>
    <row r="688" spans="2:9" ht="15.75">
      <c r="B688" s="48" t="s">
        <v>591</v>
      </c>
      <c r="C688" s="46">
        <v>3.58</v>
      </c>
      <c r="D688" s="10" t="s">
        <v>102</v>
      </c>
      <c r="E688" s="11" t="s">
        <v>5</v>
      </c>
      <c r="F688" s="12" t="s">
        <v>370</v>
      </c>
      <c r="G688" s="12">
        <v>3.36</v>
      </c>
      <c r="H688" s="12" t="s">
        <v>48</v>
      </c>
      <c r="I688" s="14" t="s">
        <v>5</v>
      </c>
    </row>
    <row r="689" spans="2:9" ht="15.75">
      <c r="B689" s="48" t="s">
        <v>594</v>
      </c>
      <c r="C689" s="46">
        <v>3.35</v>
      </c>
      <c r="D689" s="10" t="s">
        <v>102</v>
      </c>
      <c r="E689" s="11" t="s">
        <v>5</v>
      </c>
      <c r="F689" s="12" t="s">
        <v>511</v>
      </c>
      <c r="G689" s="17">
        <v>3.36</v>
      </c>
      <c r="H689" s="12" t="s">
        <v>71</v>
      </c>
      <c r="I689" s="14" t="s">
        <v>5</v>
      </c>
    </row>
    <row r="690" spans="2:9" ht="15.75">
      <c r="B690" s="48" t="s">
        <v>595</v>
      </c>
      <c r="C690" s="46">
        <v>3.22</v>
      </c>
      <c r="D690" s="10" t="s">
        <v>102</v>
      </c>
      <c r="E690" s="11" t="s">
        <v>5</v>
      </c>
      <c r="F690" s="12" t="s">
        <v>530</v>
      </c>
      <c r="G690" s="17">
        <v>3.36</v>
      </c>
      <c r="H690" s="12" t="s">
        <v>71</v>
      </c>
      <c r="I690" s="14" t="s">
        <v>39</v>
      </c>
    </row>
    <row r="691" spans="2:9" ht="15.75">
      <c r="B691" s="48" t="s">
        <v>709</v>
      </c>
      <c r="C691" s="46">
        <v>3.32</v>
      </c>
      <c r="D691" s="10" t="s">
        <v>102</v>
      </c>
      <c r="E691" s="11" t="s">
        <v>5</v>
      </c>
      <c r="F691" s="12" t="s">
        <v>511</v>
      </c>
      <c r="G691" s="17">
        <v>3.36</v>
      </c>
      <c r="H691" s="12" t="s">
        <v>58</v>
      </c>
      <c r="I691" s="14" t="s">
        <v>5</v>
      </c>
    </row>
    <row r="692" spans="2:9" ht="15.75">
      <c r="B692" s="48" t="s">
        <v>710</v>
      </c>
      <c r="C692" s="46">
        <v>3.35</v>
      </c>
      <c r="D692" s="10" t="s">
        <v>102</v>
      </c>
      <c r="E692" s="11" t="s">
        <v>5</v>
      </c>
      <c r="F692" s="12" t="s">
        <v>621</v>
      </c>
      <c r="G692" s="17">
        <v>3.36</v>
      </c>
      <c r="H692" s="12" t="s">
        <v>58</v>
      </c>
      <c r="I692" s="14" t="s">
        <v>35</v>
      </c>
    </row>
    <row r="693" spans="2:9" ht="15.75">
      <c r="B693" s="48" t="s">
        <v>335</v>
      </c>
      <c r="C693" s="46">
        <v>3.83</v>
      </c>
      <c r="D693" s="10" t="s">
        <v>102</v>
      </c>
      <c r="E693" s="11" t="s">
        <v>5</v>
      </c>
      <c r="F693" s="12" t="s">
        <v>622</v>
      </c>
      <c r="G693" s="17">
        <v>3.36</v>
      </c>
      <c r="H693" s="12" t="s">
        <v>58</v>
      </c>
      <c r="I693" s="14" t="s">
        <v>39</v>
      </c>
    </row>
    <row r="694" spans="2:9" ht="15.75">
      <c r="B694" s="48" t="s">
        <v>711</v>
      </c>
      <c r="C694" s="46">
        <v>3.22</v>
      </c>
      <c r="D694" s="10" t="s">
        <v>102</v>
      </c>
      <c r="E694" s="11" t="s">
        <v>39</v>
      </c>
      <c r="F694" s="12" t="s">
        <v>666</v>
      </c>
      <c r="G694" s="17">
        <v>3.36</v>
      </c>
      <c r="H694" s="12" t="s">
        <v>38</v>
      </c>
      <c r="I694" s="14" t="s">
        <v>5</v>
      </c>
    </row>
    <row r="695" spans="2:9" ht="15.75">
      <c r="B695" s="48" t="s">
        <v>602</v>
      </c>
      <c r="C695" s="46">
        <v>3.33</v>
      </c>
      <c r="D695" s="10" t="s">
        <v>102</v>
      </c>
      <c r="E695" s="11" t="s">
        <v>5</v>
      </c>
      <c r="F695" s="12" t="s">
        <v>511</v>
      </c>
      <c r="G695" s="13">
        <v>3.36</v>
      </c>
      <c r="H695" s="12" t="s">
        <v>102</v>
      </c>
      <c r="I695" s="14" t="s">
        <v>5</v>
      </c>
    </row>
    <row r="696" spans="2:9" ht="15.75">
      <c r="B696" s="48" t="s">
        <v>712</v>
      </c>
      <c r="C696" s="46">
        <v>3.1</v>
      </c>
      <c r="D696" s="10" t="s">
        <v>102</v>
      </c>
      <c r="E696" s="11" t="s">
        <v>39</v>
      </c>
      <c r="F696" s="12" t="s">
        <v>530</v>
      </c>
      <c r="G696" s="13">
        <v>3.36</v>
      </c>
      <c r="H696" s="12" t="s">
        <v>102</v>
      </c>
      <c r="I696" s="14" t="s">
        <v>5</v>
      </c>
    </row>
    <row r="697" spans="2:9" ht="15.75">
      <c r="B697" s="48" t="s">
        <v>605</v>
      </c>
      <c r="C697" s="46">
        <v>3.15</v>
      </c>
      <c r="D697" s="10" t="s">
        <v>102</v>
      </c>
      <c r="E697" s="11" t="s">
        <v>5</v>
      </c>
      <c r="F697" s="12" t="s">
        <v>511</v>
      </c>
      <c r="G697" s="13">
        <v>3.36</v>
      </c>
      <c r="H697" s="12" t="s">
        <v>11</v>
      </c>
      <c r="I697" s="14" t="s">
        <v>5</v>
      </c>
    </row>
    <row r="698" spans="2:9" ht="15.75">
      <c r="B698" s="48" t="s">
        <v>449</v>
      </c>
      <c r="C698" s="46">
        <v>3.53</v>
      </c>
      <c r="D698" s="10" t="s">
        <v>11</v>
      </c>
      <c r="E698" s="11" t="s">
        <v>5</v>
      </c>
      <c r="F698" s="12" t="s">
        <v>713</v>
      </c>
      <c r="G698" s="13">
        <v>3.36</v>
      </c>
      <c r="H698" s="12" t="s">
        <v>48</v>
      </c>
      <c r="I698" s="14" t="s">
        <v>5</v>
      </c>
    </row>
    <row r="699" spans="2:9" ht="15.75">
      <c r="B699" s="48" t="s">
        <v>660</v>
      </c>
      <c r="C699" s="46">
        <v>3.47</v>
      </c>
      <c r="D699" s="10" t="s">
        <v>11</v>
      </c>
      <c r="E699" s="11" t="s">
        <v>5</v>
      </c>
      <c r="F699" s="12" t="s">
        <v>232</v>
      </c>
      <c r="G699" s="12">
        <v>3.35</v>
      </c>
      <c r="H699" s="12" t="s">
        <v>4</v>
      </c>
      <c r="I699" s="14" t="s">
        <v>5</v>
      </c>
    </row>
    <row r="700" spans="2:9" ht="15.75">
      <c r="B700" s="48" t="s">
        <v>457</v>
      </c>
      <c r="C700" s="46">
        <v>3.44</v>
      </c>
      <c r="D700" s="10" t="s">
        <v>11</v>
      </c>
      <c r="E700" s="11" t="s">
        <v>5</v>
      </c>
      <c r="F700" s="12" t="s">
        <v>362</v>
      </c>
      <c r="G700" s="12">
        <v>3.35</v>
      </c>
      <c r="H700" s="12" t="s">
        <v>48</v>
      </c>
      <c r="I700" s="14" t="s">
        <v>39</v>
      </c>
    </row>
    <row r="701" spans="2:9" ht="15.75">
      <c r="B701" s="48" t="s">
        <v>467</v>
      </c>
      <c r="C701" s="24">
        <v>3.4</v>
      </c>
      <c r="D701" s="10" t="s">
        <v>11</v>
      </c>
      <c r="E701" s="11" t="s">
        <v>5</v>
      </c>
      <c r="F701" s="12" t="s">
        <v>389</v>
      </c>
      <c r="G701" s="17">
        <v>3.35</v>
      </c>
      <c r="H701" s="12" t="s">
        <v>48</v>
      </c>
      <c r="I701" s="14" t="s">
        <v>5</v>
      </c>
    </row>
    <row r="702" spans="2:9" ht="15.75">
      <c r="B702" s="48" t="s">
        <v>472</v>
      </c>
      <c r="C702" s="46">
        <v>3.66</v>
      </c>
      <c r="D702" s="10" t="s">
        <v>11</v>
      </c>
      <c r="E702" s="11" t="s">
        <v>35</v>
      </c>
      <c r="F702" s="12" t="s">
        <v>580</v>
      </c>
      <c r="G702" s="12">
        <v>3.35</v>
      </c>
      <c r="H702" s="12" t="s">
        <v>71</v>
      </c>
      <c r="I702" s="14" t="s">
        <v>5</v>
      </c>
    </row>
    <row r="703" spans="2:9" ht="15.75">
      <c r="B703" s="48" t="s">
        <v>346</v>
      </c>
      <c r="C703" s="46">
        <v>3.88</v>
      </c>
      <c r="D703" s="10" t="s">
        <v>11</v>
      </c>
      <c r="E703" s="11" t="s">
        <v>5</v>
      </c>
      <c r="F703" s="12" t="s">
        <v>594</v>
      </c>
      <c r="G703" s="12">
        <v>3.35</v>
      </c>
      <c r="H703" s="12" t="s">
        <v>71</v>
      </c>
      <c r="I703" s="14" t="s">
        <v>5</v>
      </c>
    </row>
    <row r="704" spans="2:9" ht="15.75">
      <c r="B704" s="48" t="s">
        <v>475</v>
      </c>
      <c r="C704" s="46">
        <v>3.16</v>
      </c>
      <c r="D704" s="10" t="s">
        <v>11</v>
      </c>
      <c r="E704" s="11" t="s">
        <v>5</v>
      </c>
      <c r="F704" s="12" t="s">
        <v>580</v>
      </c>
      <c r="G704" s="17">
        <v>3.35</v>
      </c>
      <c r="H704" s="12" t="s">
        <v>58</v>
      </c>
      <c r="I704" s="14" t="s">
        <v>5</v>
      </c>
    </row>
    <row r="705" spans="2:9" ht="15.75">
      <c r="B705" s="48" t="s">
        <v>476</v>
      </c>
      <c r="C705" s="46">
        <v>3.27</v>
      </c>
      <c r="D705" s="10" t="s">
        <v>11</v>
      </c>
      <c r="E705" s="11" t="s">
        <v>5</v>
      </c>
      <c r="F705" s="12" t="s">
        <v>636</v>
      </c>
      <c r="G705" s="17">
        <v>3.35</v>
      </c>
      <c r="H705" s="12" t="s">
        <v>58</v>
      </c>
      <c r="I705" s="14" t="s">
        <v>5</v>
      </c>
    </row>
    <row r="706" spans="2:9" ht="15.75">
      <c r="B706" s="48" t="s">
        <v>714</v>
      </c>
      <c r="C706" s="46">
        <v>3.2</v>
      </c>
      <c r="D706" s="10" t="s">
        <v>11</v>
      </c>
      <c r="E706" s="11" t="s">
        <v>5</v>
      </c>
      <c r="F706" s="12" t="s">
        <v>636</v>
      </c>
      <c r="G706" s="13">
        <v>3.35</v>
      </c>
      <c r="H706" s="12" t="s">
        <v>38</v>
      </c>
      <c r="I706" s="14" t="s">
        <v>5</v>
      </c>
    </row>
    <row r="707" spans="2:9" ht="15.75">
      <c r="B707" s="48" t="s">
        <v>611</v>
      </c>
      <c r="C707" s="46">
        <v>3.5</v>
      </c>
      <c r="D707" s="10" t="s">
        <v>11</v>
      </c>
      <c r="E707" s="11" t="s">
        <v>5</v>
      </c>
      <c r="F707" s="12" t="s">
        <v>389</v>
      </c>
      <c r="G707" s="13">
        <v>3.35</v>
      </c>
      <c r="H707" s="12" t="s">
        <v>102</v>
      </c>
      <c r="I707" s="14" t="s">
        <v>5</v>
      </c>
    </row>
    <row r="708" spans="2:9" ht="15.75">
      <c r="B708" s="48" t="s">
        <v>492</v>
      </c>
      <c r="C708" s="38">
        <v>3.5</v>
      </c>
      <c r="D708" s="10" t="s">
        <v>11</v>
      </c>
      <c r="E708" s="11" t="s">
        <v>5</v>
      </c>
      <c r="F708" s="12" t="s">
        <v>580</v>
      </c>
      <c r="G708" s="13">
        <v>3.35</v>
      </c>
      <c r="H708" s="12" t="s">
        <v>102</v>
      </c>
      <c r="I708" s="14" t="s">
        <v>5</v>
      </c>
    </row>
    <row r="709" spans="2:9" ht="15.75">
      <c r="B709" s="48" t="s">
        <v>440</v>
      </c>
      <c r="C709" s="46">
        <v>3.77</v>
      </c>
      <c r="D709" s="10" t="s">
        <v>11</v>
      </c>
      <c r="E709" s="11" t="s">
        <v>5</v>
      </c>
      <c r="F709" s="12" t="s">
        <v>594</v>
      </c>
      <c r="G709" s="13">
        <v>3.35</v>
      </c>
      <c r="H709" s="12" t="s">
        <v>102</v>
      </c>
      <c r="I709" s="14" t="s">
        <v>5</v>
      </c>
    </row>
    <row r="710" spans="2:9" ht="15.75">
      <c r="B710" s="48" t="s">
        <v>298</v>
      </c>
      <c r="C710" s="46">
        <v>3.28</v>
      </c>
      <c r="D710" s="10" t="s">
        <v>11</v>
      </c>
      <c r="E710" s="11" t="s">
        <v>5</v>
      </c>
      <c r="F710" s="12" t="s">
        <v>710</v>
      </c>
      <c r="G710" s="13">
        <v>3.35</v>
      </c>
      <c r="H710" s="12" t="s">
        <v>102</v>
      </c>
      <c r="I710" s="14" t="s">
        <v>5</v>
      </c>
    </row>
    <row r="711" spans="2:9" ht="15.75">
      <c r="B711" s="48" t="s">
        <v>497</v>
      </c>
      <c r="C711" s="46">
        <v>3.26</v>
      </c>
      <c r="D711" s="10" t="s">
        <v>11</v>
      </c>
      <c r="E711" s="11" t="s">
        <v>5</v>
      </c>
      <c r="F711" s="12" t="s">
        <v>580</v>
      </c>
      <c r="G711" s="13">
        <v>3.35</v>
      </c>
      <c r="H711" s="12" t="s">
        <v>11</v>
      </c>
      <c r="I711" s="14" t="s">
        <v>5</v>
      </c>
    </row>
    <row r="712" spans="2:9" ht="15.75">
      <c r="B712" s="48" t="s">
        <v>165</v>
      </c>
      <c r="C712" s="46">
        <v>3.42</v>
      </c>
      <c r="D712" s="10" t="s">
        <v>11</v>
      </c>
      <c r="E712" s="11" t="s">
        <v>5</v>
      </c>
      <c r="F712" s="12" t="s">
        <v>636</v>
      </c>
      <c r="G712" s="13">
        <v>3.35</v>
      </c>
      <c r="H712" s="12" t="s">
        <v>11</v>
      </c>
      <c r="I712" s="14" t="s">
        <v>5</v>
      </c>
    </row>
    <row r="713" spans="2:9" ht="15.75">
      <c r="B713" s="48" t="s">
        <v>500</v>
      </c>
      <c r="C713" s="46">
        <v>3.16</v>
      </c>
      <c r="D713" s="10" t="s">
        <v>11</v>
      </c>
      <c r="E713" s="11" t="s">
        <v>39</v>
      </c>
      <c r="F713" s="12" t="s">
        <v>710</v>
      </c>
      <c r="G713" s="13">
        <v>3.35</v>
      </c>
      <c r="H713" s="12" t="s">
        <v>11</v>
      </c>
      <c r="I713" s="14" t="s">
        <v>5</v>
      </c>
    </row>
    <row r="714" spans="2:9" ht="15.75">
      <c r="B714" s="48" t="s">
        <v>658</v>
      </c>
      <c r="C714" s="46">
        <v>3.47</v>
      </c>
      <c r="D714" s="10" t="s">
        <v>11</v>
      </c>
      <c r="E714" s="11" t="s">
        <v>5</v>
      </c>
      <c r="F714" s="12" t="s">
        <v>715</v>
      </c>
      <c r="G714" s="13">
        <v>3.35</v>
      </c>
      <c r="H714" s="12" t="s">
        <v>30</v>
      </c>
      <c r="I714" s="14" t="s">
        <v>5</v>
      </c>
    </row>
    <row r="715" spans="2:9" ht="15.75">
      <c r="B715" s="48" t="s">
        <v>505</v>
      </c>
      <c r="C715" s="46">
        <v>3.38</v>
      </c>
      <c r="D715" s="10" t="s">
        <v>11</v>
      </c>
      <c r="E715" s="11" t="s">
        <v>5</v>
      </c>
      <c r="F715" s="12" t="s">
        <v>716</v>
      </c>
      <c r="G715" s="13">
        <v>3.35</v>
      </c>
      <c r="H715" s="12" t="s">
        <v>102</v>
      </c>
      <c r="I715" s="14" t="s">
        <v>35</v>
      </c>
    </row>
    <row r="716" spans="2:9" ht="15.75">
      <c r="B716" s="48" t="s">
        <v>511</v>
      </c>
      <c r="C716" s="46">
        <v>3.36</v>
      </c>
      <c r="D716" s="10" t="s">
        <v>11</v>
      </c>
      <c r="E716" s="11" t="s">
        <v>5</v>
      </c>
      <c r="F716" s="12" t="s">
        <v>717</v>
      </c>
      <c r="G716" s="13">
        <v>3.35</v>
      </c>
      <c r="H716" s="12" t="s">
        <v>11</v>
      </c>
      <c r="I716" s="14" t="s">
        <v>35</v>
      </c>
    </row>
    <row r="717" spans="2:9" ht="15.75">
      <c r="B717" s="48" t="s">
        <v>512</v>
      </c>
      <c r="C717" s="46">
        <v>3.15</v>
      </c>
      <c r="D717" s="10" t="s">
        <v>11</v>
      </c>
      <c r="E717" s="11" t="s">
        <v>5</v>
      </c>
      <c r="F717" s="12" t="s">
        <v>377</v>
      </c>
      <c r="G717" s="17">
        <v>3.34</v>
      </c>
      <c r="H717" s="12" t="s">
        <v>48</v>
      </c>
      <c r="I717" s="14" t="s">
        <v>39</v>
      </c>
    </row>
    <row r="718" spans="2:9" ht="15.75">
      <c r="B718" s="48" t="s">
        <v>514</v>
      </c>
      <c r="C718" s="46">
        <v>3.23</v>
      </c>
      <c r="D718" s="10" t="s">
        <v>11</v>
      </c>
      <c r="E718" s="11" t="s">
        <v>5</v>
      </c>
      <c r="F718" s="12" t="s">
        <v>685</v>
      </c>
      <c r="G718" s="13">
        <v>3.34</v>
      </c>
      <c r="H718" s="12" t="s">
        <v>102</v>
      </c>
      <c r="I718" s="14" t="s">
        <v>35</v>
      </c>
    </row>
    <row r="719" spans="2:9" ht="15.75">
      <c r="B719" s="48" t="s">
        <v>642</v>
      </c>
      <c r="C719" s="38">
        <v>3.5</v>
      </c>
      <c r="D719" s="10" t="s">
        <v>11</v>
      </c>
      <c r="E719" s="11" t="s">
        <v>5</v>
      </c>
      <c r="F719" s="12" t="s">
        <v>718</v>
      </c>
      <c r="G719" s="13">
        <v>3.34</v>
      </c>
      <c r="H719" s="12" t="s">
        <v>30</v>
      </c>
      <c r="I719" s="14" t="s">
        <v>5</v>
      </c>
    </row>
    <row r="720" spans="2:9" ht="15.75">
      <c r="B720" s="48" t="s">
        <v>518</v>
      </c>
      <c r="C720" s="46">
        <v>3.52</v>
      </c>
      <c r="D720" s="10" t="s">
        <v>11</v>
      </c>
      <c r="E720" s="11" t="s">
        <v>5</v>
      </c>
      <c r="F720" s="12" t="s">
        <v>719</v>
      </c>
      <c r="G720" s="13">
        <v>3.34</v>
      </c>
      <c r="H720" s="12" t="s">
        <v>30</v>
      </c>
      <c r="I720" s="14" t="s">
        <v>5</v>
      </c>
    </row>
    <row r="721" spans="2:9" ht="15.75">
      <c r="B721" s="48" t="s">
        <v>540</v>
      </c>
      <c r="C721" s="46">
        <v>3.65</v>
      </c>
      <c r="D721" s="10" t="s">
        <v>11</v>
      </c>
      <c r="E721" s="11" t="s">
        <v>5</v>
      </c>
      <c r="F721" s="12" t="s">
        <v>276</v>
      </c>
      <c r="G721" s="12">
        <v>3.33</v>
      </c>
      <c r="H721" s="12" t="s">
        <v>48</v>
      </c>
      <c r="I721" s="14" t="s">
        <v>35</v>
      </c>
    </row>
    <row r="722" spans="2:9" ht="15.75">
      <c r="B722" s="50" t="s">
        <v>527</v>
      </c>
      <c r="C722" s="46">
        <v>3.21</v>
      </c>
      <c r="D722" s="10" t="s">
        <v>11</v>
      </c>
      <c r="E722" s="11" t="s">
        <v>5</v>
      </c>
      <c r="F722" s="12" t="s">
        <v>320</v>
      </c>
      <c r="G722" s="17">
        <v>3.33</v>
      </c>
      <c r="H722" s="12" t="s">
        <v>48</v>
      </c>
      <c r="I722" s="14" t="s">
        <v>5</v>
      </c>
    </row>
    <row r="723" spans="2:9" ht="15.75">
      <c r="B723" s="48" t="s">
        <v>720</v>
      </c>
      <c r="C723" s="46">
        <v>3.16</v>
      </c>
      <c r="D723" s="10" t="s">
        <v>11</v>
      </c>
      <c r="E723" s="11" t="s">
        <v>5</v>
      </c>
      <c r="F723" s="12" t="s">
        <v>602</v>
      </c>
      <c r="G723" s="12">
        <v>3.33</v>
      </c>
      <c r="H723" s="12" t="s">
        <v>71</v>
      </c>
      <c r="I723" s="14" t="s">
        <v>5</v>
      </c>
    </row>
    <row r="724" spans="2:9" ht="15.75">
      <c r="B724" s="48" t="s">
        <v>534</v>
      </c>
      <c r="C724" s="46">
        <v>3.57</v>
      </c>
      <c r="D724" s="10" t="s">
        <v>11</v>
      </c>
      <c r="E724" s="11" t="s">
        <v>5</v>
      </c>
      <c r="F724" s="12" t="s">
        <v>626</v>
      </c>
      <c r="G724" s="17">
        <v>3.33</v>
      </c>
      <c r="H724" s="12" t="s">
        <v>58</v>
      </c>
      <c r="I724" s="14" t="s">
        <v>35</v>
      </c>
    </row>
    <row r="725" spans="2:9" ht="15.75">
      <c r="B725" s="50" t="s">
        <v>535</v>
      </c>
      <c r="C725" s="46">
        <v>3.22</v>
      </c>
      <c r="D725" s="10" t="s">
        <v>11</v>
      </c>
      <c r="E725" s="11" t="s">
        <v>5</v>
      </c>
      <c r="F725" s="12" t="s">
        <v>602</v>
      </c>
      <c r="G725" s="17">
        <v>3.33</v>
      </c>
      <c r="H725" s="12" t="s">
        <v>58</v>
      </c>
      <c r="I725" s="14" t="s">
        <v>5</v>
      </c>
    </row>
    <row r="726" spans="2:9" ht="15.75">
      <c r="B726" s="48" t="s">
        <v>387</v>
      </c>
      <c r="C726" s="38">
        <v>3.2</v>
      </c>
      <c r="D726" s="10" t="s">
        <v>11</v>
      </c>
      <c r="E726" s="11" t="s">
        <v>5</v>
      </c>
      <c r="F726" s="12" t="s">
        <v>701</v>
      </c>
      <c r="G726" s="13">
        <v>3.33</v>
      </c>
      <c r="H726" s="12" t="s">
        <v>102</v>
      </c>
      <c r="I726" s="14" t="s">
        <v>39</v>
      </c>
    </row>
    <row r="727" spans="2:9" ht="15.75">
      <c r="B727" s="48" t="s">
        <v>491</v>
      </c>
      <c r="C727" s="46">
        <v>3.72</v>
      </c>
      <c r="D727" s="10" t="s">
        <v>11</v>
      </c>
      <c r="E727" s="11" t="s">
        <v>5</v>
      </c>
      <c r="F727" s="12" t="s">
        <v>602</v>
      </c>
      <c r="G727" s="13">
        <v>3.33</v>
      </c>
      <c r="H727" s="12" t="s">
        <v>102</v>
      </c>
      <c r="I727" s="14" t="s">
        <v>5</v>
      </c>
    </row>
    <row r="728" spans="2:9" ht="15.75">
      <c r="B728" s="48" t="s">
        <v>546</v>
      </c>
      <c r="C728" s="46">
        <v>3.47</v>
      </c>
      <c r="D728" s="10" t="s">
        <v>11</v>
      </c>
      <c r="E728" s="11" t="s">
        <v>5</v>
      </c>
      <c r="F728" s="12" t="s">
        <v>602</v>
      </c>
      <c r="G728" s="13">
        <v>3.33</v>
      </c>
      <c r="H728" s="12" t="s">
        <v>11</v>
      </c>
      <c r="I728" s="14" t="s">
        <v>5</v>
      </c>
    </row>
    <row r="729" spans="2:9" ht="15.75">
      <c r="B729" s="48" t="s">
        <v>547</v>
      </c>
      <c r="C729" s="46">
        <v>3.17</v>
      </c>
      <c r="D729" s="10" t="s">
        <v>11</v>
      </c>
      <c r="E729" s="11" t="s">
        <v>5</v>
      </c>
      <c r="F729" s="12" t="s">
        <v>721</v>
      </c>
      <c r="G729" s="13">
        <v>3.33</v>
      </c>
      <c r="H729" s="12" t="s">
        <v>58</v>
      </c>
      <c r="I729" s="14" t="s">
        <v>5</v>
      </c>
    </row>
    <row r="730" spans="2:9" ht="15.75">
      <c r="B730" s="48" t="s">
        <v>393</v>
      </c>
      <c r="C730" s="46">
        <v>3.55</v>
      </c>
      <c r="D730" s="10" t="s">
        <v>11</v>
      </c>
      <c r="E730" s="11" t="s">
        <v>35</v>
      </c>
      <c r="F730" s="12" t="s">
        <v>721</v>
      </c>
      <c r="G730" s="13">
        <v>3.33</v>
      </c>
      <c r="H730" s="12" t="s">
        <v>71</v>
      </c>
      <c r="I730" s="14" t="s">
        <v>5</v>
      </c>
    </row>
    <row r="731" spans="2:9" ht="15.75">
      <c r="B731" s="48" t="s">
        <v>549</v>
      </c>
      <c r="C731" s="46">
        <v>3.27</v>
      </c>
      <c r="D731" s="10" t="s">
        <v>11</v>
      </c>
      <c r="E731" s="11" t="s">
        <v>5</v>
      </c>
      <c r="F731" s="12" t="s">
        <v>721</v>
      </c>
      <c r="G731" s="13">
        <v>3.33</v>
      </c>
      <c r="H731" s="12" t="s">
        <v>11</v>
      </c>
      <c r="I731" s="14" t="s">
        <v>5</v>
      </c>
    </row>
    <row r="732" spans="2:9" ht="15.75">
      <c r="B732" s="48" t="s">
        <v>544</v>
      </c>
      <c r="C732" s="46">
        <v>3.62</v>
      </c>
      <c r="D732" s="10" t="s">
        <v>11</v>
      </c>
      <c r="E732" s="11" t="s">
        <v>35</v>
      </c>
      <c r="F732" s="12" t="s">
        <v>722</v>
      </c>
      <c r="G732" s="13">
        <v>3.33</v>
      </c>
      <c r="H732" s="12" t="s">
        <v>4</v>
      </c>
      <c r="I732" s="14" t="s">
        <v>35</v>
      </c>
    </row>
    <row r="733" spans="2:9" ht="15.75">
      <c r="B733" s="48" t="s">
        <v>550</v>
      </c>
      <c r="C733" s="38">
        <v>3.6</v>
      </c>
      <c r="D733" s="10" t="s">
        <v>11</v>
      </c>
      <c r="E733" s="11" t="s">
        <v>35</v>
      </c>
      <c r="F733" s="12" t="s">
        <v>722</v>
      </c>
      <c r="G733" s="13">
        <v>3.33</v>
      </c>
      <c r="H733" s="12" t="s">
        <v>38</v>
      </c>
      <c r="I733" s="14" t="s">
        <v>35</v>
      </c>
    </row>
    <row r="734" spans="2:9" ht="15.75">
      <c r="B734" s="48" t="s">
        <v>554</v>
      </c>
      <c r="C734" s="46">
        <v>3.3</v>
      </c>
      <c r="D734" s="10" t="s">
        <v>11</v>
      </c>
      <c r="E734" s="11" t="s">
        <v>35</v>
      </c>
      <c r="F734" s="12" t="s">
        <v>723</v>
      </c>
      <c r="G734" s="13">
        <v>3.33</v>
      </c>
      <c r="H734" s="12" t="s">
        <v>102</v>
      </c>
      <c r="I734" s="14" t="s">
        <v>35</v>
      </c>
    </row>
    <row r="735" spans="2:9" ht="15.75">
      <c r="B735" s="48" t="s">
        <v>618</v>
      </c>
      <c r="C735" s="46">
        <v>3.44</v>
      </c>
      <c r="D735" s="10" t="s">
        <v>11</v>
      </c>
      <c r="E735" s="11" t="s">
        <v>5</v>
      </c>
      <c r="F735" s="12" t="s">
        <v>259</v>
      </c>
      <c r="G735" s="12">
        <v>3.32</v>
      </c>
      <c r="H735" s="12" t="s">
        <v>48</v>
      </c>
      <c r="I735" s="14" t="s">
        <v>5</v>
      </c>
    </row>
    <row r="736" spans="2:9" ht="15.75">
      <c r="B736" s="48" t="s">
        <v>556</v>
      </c>
      <c r="C736" s="46">
        <v>3.2</v>
      </c>
      <c r="D736" s="10" t="s">
        <v>11</v>
      </c>
      <c r="E736" s="11" t="s">
        <v>5</v>
      </c>
      <c r="F736" s="12" t="s">
        <v>342</v>
      </c>
      <c r="G736" s="17">
        <v>3.32</v>
      </c>
      <c r="H736" s="12" t="s">
        <v>48</v>
      </c>
      <c r="I736" s="14" t="s">
        <v>39</v>
      </c>
    </row>
    <row r="737" spans="2:9" ht="15.75">
      <c r="B737" s="48" t="s">
        <v>572</v>
      </c>
      <c r="C737" s="46">
        <v>3.21</v>
      </c>
      <c r="D737" s="10" t="s">
        <v>11</v>
      </c>
      <c r="E737" s="11" t="s">
        <v>5</v>
      </c>
      <c r="F737" s="12" t="s">
        <v>433</v>
      </c>
      <c r="G737" s="12">
        <v>3.32</v>
      </c>
      <c r="H737" s="12" t="s">
        <v>48</v>
      </c>
      <c r="I737" s="14" t="s">
        <v>5</v>
      </c>
    </row>
    <row r="738" spans="2:9" ht="15.75">
      <c r="B738" s="48" t="s">
        <v>493</v>
      </c>
      <c r="C738" s="46">
        <v>3.72</v>
      </c>
      <c r="D738" s="10" t="s">
        <v>11</v>
      </c>
      <c r="E738" s="11" t="s">
        <v>5</v>
      </c>
      <c r="F738" s="12" t="s">
        <v>443</v>
      </c>
      <c r="G738" s="12">
        <v>3.32</v>
      </c>
      <c r="H738" s="12" t="s">
        <v>48</v>
      </c>
      <c r="I738" s="14" t="s">
        <v>5</v>
      </c>
    </row>
    <row r="739" spans="2:9" ht="15.75">
      <c r="B739" s="48" t="s">
        <v>574</v>
      </c>
      <c r="C739" s="46">
        <v>3.5</v>
      </c>
      <c r="D739" s="10" t="s">
        <v>11</v>
      </c>
      <c r="E739" s="11" t="s">
        <v>5</v>
      </c>
      <c r="F739" s="12" t="s">
        <v>259</v>
      </c>
      <c r="G739" s="12">
        <v>3.32</v>
      </c>
      <c r="H739" s="12" t="s">
        <v>71</v>
      </c>
      <c r="I739" s="14" t="s">
        <v>5</v>
      </c>
    </row>
    <row r="740" spans="2:9" ht="15.75">
      <c r="B740" s="48" t="s">
        <v>414</v>
      </c>
      <c r="C740" s="46">
        <v>3.11</v>
      </c>
      <c r="D740" s="10" t="s">
        <v>11</v>
      </c>
      <c r="E740" s="11" t="s">
        <v>35</v>
      </c>
      <c r="F740" s="12" t="s">
        <v>521</v>
      </c>
      <c r="G740" s="12">
        <v>3.32</v>
      </c>
      <c r="H740" s="12" t="s">
        <v>71</v>
      </c>
      <c r="I740" s="14" t="s">
        <v>5</v>
      </c>
    </row>
    <row r="741" spans="2:9" ht="15.75">
      <c r="B741" s="48" t="s">
        <v>576</v>
      </c>
      <c r="C741" s="46">
        <v>3.22</v>
      </c>
      <c r="D741" s="10" t="s">
        <v>11</v>
      </c>
      <c r="E741" s="11" t="s">
        <v>39</v>
      </c>
      <c r="F741" s="12" t="s">
        <v>592</v>
      </c>
      <c r="G741" s="12">
        <v>3.32</v>
      </c>
      <c r="H741" s="12" t="s">
        <v>71</v>
      </c>
      <c r="I741" s="14" t="s">
        <v>5</v>
      </c>
    </row>
    <row r="742" spans="2:9" ht="15.75">
      <c r="B742" s="48" t="s">
        <v>420</v>
      </c>
      <c r="C742" s="46">
        <v>3.26</v>
      </c>
      <c r="D742" s="10" t="s">
        <v>11</v>
      </c>
      <c r="E742" s="11" t="s">
        <v>5</v>
      </c>
      <c r="F742" s="12" t="s">
        <v>433</v>
      </c>
      <c r="G742" s="17">
        <v>3.32</v>
      </c>
      <c r="H742" s="12" t="s">
        <v>58</v>
      </c>
      <c r="I742" s="14" t="s">
        <v>5</v>
      </c>
    </row>
    <row r="743" spans="2:9" ht="15.75">
      <c r="B743" s="48" t="s">
        <v>580</v>
      </c>
      <c r="C743" s="46">
        <v>3.35</v>
      </c>
      <c r="D743" s="10" t="s">
        <v>11</v>
      </c>
      <c r="E743" s="11" t="s">
        <v>5</v>
      </c>
      <c r="F743" s="12" t="s">
        <v>521</v>
      </c>
      <c r="G743" s="13">
        <v>3.32</v>
      </c>
      <c r="H743" s="12" t="s">
        <v>102</v>
      </c>
      <c r="I743" s="14" t="s">
        <v>5</v>
      </c>
    </row>
    <row r="744" spans="2:9" ht="15.75">
      <c r="B744" s="48" t="s">
        <v>582</v>
      </c>
      <c r="C744" s="46">
        <v>3.29</v>
      </c>
      <c r="D744" s="10" t="s">
        <v>11</v>
      </c>
      <c r="E744" s="11" t="s">
        <v>5</v>
      </c>
      <c r="F744" s="12" t="s">
        <v>342</v>
      </c>
      <c r="G744" s="13">
        <v>3.32</v>
      </c>
      <c r="H744" s="12" t="s">
        <v>102</v>
      </c>
      <c r="I744" s="14" t="s">
        <v>5</v>
      </c>
    </row>
    <row r="745" spans="2:9" ht="15.75">
      <c r="B745" s="48" t="s">
        <v>584</v>
      </c>
      <c r="C745" s="46">
        <v>3.44</v>
      </c>
      <c r="D745" s="10" t="s">
        <v>11</v>
      </c>
      <c r="E745" s="11" t="s">
        <v>5</v>
      </c>
      <c r="F745" s="12" t="s">
        <v>707</v>
      </c>
      <c r="G745" s="13">
        <v>3.32</v>
      </c>
      <c r="H745" s="12" t="s">
        <v>102</v>
      </c>
      <c r="I745" s="14" t="s">
        <v>35</v>
      </c>
    </row>
    <row r="746" spans="2:9" ht="15.75">
      <c r="B746" s="48" t="s">
        <v>294</v>
      </c>
      <c r="C746" s="46">
        <v>3.79</v>
      </c>
      <c r="D746" s="10" t="s">
        <v>11</v>
      </c>
      <c r="E746" s="11" t="s">
        <v>5</v>
      </c>
      <c r="F746" s="12" t="s">
        <v>709</v>
      </c>
      <c r="G746" s="13">
        <v>3.32</v>
      </c>
      <c r="H746" s="12" t="s">
        <v>102</v>
      </c>
      <c r="I746" s="14" t="s">
        <v>5</v>
      </c>
    </row>
    <row r="747" spans="2:9" ht="15.75">
      <c r="B747" s="48" t="s">
        <v>369</v>
      </c>
      <c r="C747" s="46">
        <v>3.85</v>
      </c>
      <c r="D747" s="10" t="s">
        <v>11</v>
      </c>
      <c r="E747" s="11" t="s">
        <v>5</v>
      </c>
      <c r="F747" s="12" t="s">
        <v>592</v>
      </c>
      <c r="G747" s="13">
        <v>3.32</v>
      </c>
      <c r="H747" s="12" t="s">
        <v>11</v>
      </c>
      <c r="I747" s="14" t="s">
        <v>5</v>
      </c>
    </row>
    <row r="748" spans="2:9" ht="15.75">
      <c r="B748" s="48" t="s">
        <v>440</v>
      </c>
      <c r="C748" s="46">
        <v>3.78</v>
      </c>
      <c r="D748" s="10" t="s">
        <v>11</v>
      </c>
      <c r="E748" s="11" t="s">
        <v>5</v>
      </c>
      <c r="F748" s="12" t="s">
        <v>724</v>
      </c>
      <c r="G748" s="13">
        <v>3.32</v>
      </c>
      <c r="H748" s="12" t="s">
        <v>30</v>
      </c>
      <c r="I748" s="14" t="s">
        <v>5</v>
      </c>
    </row>
    <row r="749" spans="2:9" ht="15.75">
      <c r="B749" s="48" t="s">
        <v>672</v>
      </c>
      <c r="C749" s="46">
        <v>3.44</v>
      </c>
      <c r="D749" s="10" t="s">
        <v>11</v>
      </c>
      <c r="E749" s="11" t="s">
        <v>39</v>
      </c>
      <c r="F749" s="12" t="s">
        <v>725</v>
      </c>
      <c r="G749" s="13">
        <v>3.32</v>
      </c>
      <c r="H749" s="12" t="s">
        <v>30</v>
      </c>
      <c r="I749" s="14" t="s">
        <v>5</v>
      </c>
    </row>
    <row r="750" spans="2:9" ht="15.75">
      <c r="B750" s="48" t="s">
        <v>561</v>
      </c>
      <c r="C750" s="46">
        <v>3.63</v>
      </c>
      <c r="D750" s="10" t="s">
        <v>11</v>
      </c>
      <c r="E750" s="11" t="s">
        <v>5</v>
      </c>
      <c r="F750" s="12" t="s">
        <v>726</v>
      </c>
      <c r="G750" s="13">
        <v>3.32</v>
      </c>
      <c r="H750" s="12" t="s">
        <v>102</v>
      </c>
      <c r="I750" s="14" t="s">
        <v>35</v>
      </c>
    </row>
    <row r="751" spans="2:9" ht="15.75">
      <c r="B751" s="48" t="s">
        <v>498</v>
      </c>
      <c r="C751" s="46">
        <v>3.72</v>
      </c>
      <c r="D751" s="10" t="s">
        <v>11</v>
      </c>
      <c r="E751" s="11" t="s">
        <v>5</v>
      </c>
      <c r="F751" s="12" t="s">
        <v>182</v>
      </c>
      <c r="G751" s="12">
        <v>3.31</v>
      </c>
      <c r="H751" s="12" t="s">
        <v>4</v>
      </c>
      <c r="I751" s="14" t="s">
        <v>5</v>
      </c>
    </row>
    <row r="752" spans="2:9" ht="15.75">
      <c r="B752" s="48" t="s">
        <v>494</v>
      </c>
      <c r="C752" s="46" t="s">
        <v>10</v>
      </c>
      <c r="D752" s="10" t="s">
        <v>11</v>
      </c>
      <c r="E752" s="11" t="s">
        <v>5</v>
      </c>
      <c r="F752" s="12" t="s">
        <v>385</v>
      </c>
      <c r="G752" s="17">
        <v>3.31</v>
      </c>
      <c r="H752" s="12" t="s">
        <v>48</v>
      </c>
      <c r="I752" s="14" t="s">
        <v>5</v>
      </c>
    </row>
    <row r="753" spans="2:9" ht="15.75">
      <c r="B753" s="48" t="s">
        <v>592</v>
      </c>
      <c r="C753" s="46">
        <v>3.32</v>
      </c>
      <c r="D753" s="10" t="s">
        <v>11</v>
      </c>
      <c r="E753" s="11" t="s">
        <v>5</v>
      </c>
      <c r="F753" s="12" t="s">
        <v>525</v>
      </c>
      <c r="G753" s="12">
        <v>3.31</v>
      </c>
      <c r="H753" s="12" t="s">
        <v>71</v>
      </c>
      <c r="I753" s="14" t="s">
        <v>35</v>
      </c>
    </row>
    <row r="754" spans="2:9" ht="15.75">
      <c r="B754" s="48" t="s">
        <v>636</v>
      </c>
      <c r="C754" s="46">
        <v>3.35</v>
      </c>
      <c r="D754" s="10" t="s">
        <v>11</v>
      </c>
      <c r="E754" s="11" t="s">
        <v>5</v>
      </c>
      <c r="F754" s="12" t="s">
        <v>543</v>
      </c>
      <c r="G754" s="17">
        <v>3.31</v>
      </c>
      <c r="H754" s="12" t="s">
        <v>71</v>
      </c>
      <c r="I754" s="14" t="s">
        <v>39</v>
      </c>
    </row>
    <row r="755" spans="2:9" ht="15.75">
      <c r="B755" s="48" t="s">
        <v>447</v>
      </c>
      <c r="C755" s="46">
        <v>3.78</v>
      </c>
      <c r="D755" s="10" t="s">
        <v>11</v>
      </c>
      <c r="E755" s="11" t="s">
        <v>5</v>
      </c>
      <c r="F755" s="12" t="s">
        <v>525</v>
      </c>
      <c r="G755" s="17">
        <v>3.31</v>
      </c>
      <c r="H755" s="12" t="s">
        <v>58</v>
      </c>
      <c r="I755" s="14" t="s">
        <v>5</v>
      </c>
    </row>
    <row r="756" spans="2:9" ht="15.75">
      <c r="B756" s="48" t="s">
        <v>595</v>
      </c>
      <c r="C756" s="46">
        <v>3.22</v>
      </c>
      <c r="D756" s="10" t="s">
        <v>11</v>
      </c>
      <c r="E756" s="11" t="s">
        <v>5</v>
      </c>
      <c r="F756" s="12" t="s">
        <v>385</v>
      </c>
      <c r="G756" s="17">
        <v>3.31</v>
      </c>
      <c r="H756" s="12" t="s">
        <v>38</v>
      </c>
      <c r="I756" s="14" t="s">
        <v>5</v>
      </c>
    </row>
    <row r="757" spans="2:9" ht="15.75">
      <c r="B757" s="48" t="s">
        <v>710</v>
      </c>
      <c r="C757" s="46">
        <v>3.35</v>
      </c>
      <c r="D757" s="10" t="s">
        <v>11</v>
      </c>
      <c r="E757" s="11" t="s">
        <v>5</v>
      </c>
      <c r="F757" s="12" t="s">
        <v>525</v>
      </c>
      <c r="G757" s="13">
        <v>3.31</v>
      </c>
      <c r="H757" s="12" t="s">
        <v>102</v>
      </c>
      <c r="I757" s="14" t="s">
        <v>5</v>
      </c>
    </row>
    <row r="758" spans="2:9" ht="15.75">
      <c r="B758" s="48" t="s">
        <v>598</v>
      </c>
      <c r="C758" s="46">
        <v>3.44</v>
      </c>
      <c r="D758" s="10" t="s">
        <v>11</v>
      </c>
      <c r="E758" s="11" t="s">
        <v>5</v>
      </c>
      <c r="F758" s="12" t="s">
        <v>727</v>
      </c>
      <c r="G758" s="13">
        <v>3.31</v>
      </c>
      <c r="H758" s="12" t="s">
        <v>102</v>
      </c>
      <c r="I758" s="14" t="s">
        <v>5</v>
      </c>
    </row>
    <row r="759" spans="2:9" ht="15.75">
      <c r="B759" s="48" t="s">
        <v>599</v>
      </c>
      <c r="C759" s="46">
        <v>3.56</v>
      </c>
      <c r="D759" s="10" t="s">
        <v>11</v>
      </c>
      <c r="E759" s="11" t="s">
        <v>5</v>
      </c>
      <c r="F759" s="12" t="s">
        <v>330</v>
      </c>
      <c r="G759" s="12">
        <v>3.3</v>
      </c>
      <c r="H759" s="12" t="s">
        <v>48</v>
      </c>
      <c r="I759" s="14" t="s">
        <v>5</v>
      </c>
    </row>
    <row r="760" spans="2:9" ht="15.75">
      <c r="B760" s="48" t="s">
        <v>602</v>
      </c>
      <c r="C760" s="46">
        <v>3.33</v>
      </c>
      <c r="D760" s="10" t="s">
        <v>11</v>
      </c>
      <c r="E760" s="11" t="s">
        <v>5</v>
      </c>
      <c r="F760" s="12" t="s">
        <v>378</v>
      </c>
      <c r="G760" s="12">
        <v>3.3</v>
      </c>
      <c r="H760" s="12" t="s">
        <v>48</v>
      </c>
      <c r="I760" s="14" t="s">
        <v>35</v>
      </c>
    </row>
    <row r="761" spans="2:9" ht="15.75">
      <c r="B761" s="48" t="s">
        <v>605</v>
      </c>
      <c r="C761" s="46">
        <v>3.15</v>
      </c>
      <c r="D761" s="10" t="s">
        <v>11</v>
      </c>
      <c r="E761" s="11" t="s">
        <v>5</v>
      </c>
      <c r="F761" s="12" t="s">
        <v>487</v>
      </c>
      <c r="G761" s="12">
        <v>3.3</v>
      </c>
      <c r="H761" s="12" t="s">
        <v>71</v>
      </c>
      <c r="I761" s="14" t="s">
        <v>5</v>
      </c>
    </row>
    <row r="762" spans="2:9">
      <c r="B762" s="48" t="s">
        <v>728</v>
      </c>
      <c r="C762" s="51">
        <v>3.19</v>
      </c>
      <c r="D762" s="10" t="s">
        <v>30</v>
      </c>
      <c r="E762" s="11" t="s">
        <v>35</v>
      </c>
      <c r="F762" s="12" t="s">
        <v>330</v>
      </c>
      <c r="G762" s="12">
        <v>3.3</v>
      </c>
      <c r="H762" s="12" t="s">
        <v>71</v>
      </c>
      <c r="I762" s="14" t="s">
        <v>5</v>
      </c>
    </row>
    <row r="763" spans="2:9">
      <c r="B763" s="48" t="s">
        <v>729</v>
      </c>
      <c r="C763" s="51">
        <v>3</v>
      </c>
      <c r="D763" s="10" t="s">
        <v>30</v>
      </c>
      <c r="E763" s="11" t="s">
        <v>5</v>
      </c>
      <c r="F763" s="12" t="s">
        <v>554</v>
      </c>
      <c r="G763" s="12">
        <v>3.3</v>
      </c>
      <c r="H763" s="12" t="s">
        <v>71</v>
      </c>
      <c r="I763" s="14" t="s">
        <v>5</v>
      </c>
    </row>
    <row r="764" spans="2:9">
      <c r="B764" s="48" t="s">
        <v>435</v>
      </c>
      <c r="C764" s="51">
        <v>3.79</v>
      </c>
      <c r="D764" s="10" t="s">
        <v>30</v>
      </c>
      <c r="E764" s="11" t="s">
        <v>5</v>
      </c>
      <c r="F764" s="12" t="s">
        <v>554</v>
      </c>
      <c r="G764" s="17">
        <v>3.3</v>
      </c>
      <c r="H764" s="12" t="s">
        <v>58</v>
      </c>
      <c r="I764" s="14" t="s">
        <v>5</v>
      </c>
    </row>
    <row r="765" spans="2:9">
      <c r="B765" s="48" t="s">
        <v>665</v>
      </c>
      <c r="C765" s="51">
        <v>3.45</v>
      </c>
      <c r="D765" s="10" t="s">
        <v>30</v>
      </c>
      <c r="E765" s="11" t="s">
        <v>5</v>
      </c>
      <c r="F765" s="12" t="s">
        <v>554</v>
      </c>
      <c r="G765" s="13">
        <v>3.3</v>
      </c>
      <c r="H765" s="12" t="s">
        <v>11</v>
      </c>
      <c r="I765" s="14" t="s">
        <v>35</v>
      </c>
    </row>
    <row r="766" spans="2:9">
      <c r="B766" s="48" t="s">
        <v>695</v>
      </c>
      <c r="C766" s="51">
        <v>3.4</v>
      </c>
      <c r="D766" s="10" t="s">
        <v>30</v>
      </c>
      <c r="E766" s="11" t="s">
        <v>5</v>
      </c>
      <c r="F766" s="12" t="s">
        <v>730</v>
      </c>
      <c r="G766" s="12">
        <v>3.3</v>
      </c>
      <c r="H766" s="12" t="s">
        <v>30</v>
      </c>
      <c r="I766" s="14" t="s">
        <v>5</v>
      </c>
    </row>
    <row r="767" spans="2:9">
      <c r="B767" s="48" t="s">
        <v>41</v>
      </c>
      <c r="C767" s="51">
        <v>3.42</v>
      </c>
      <c r="D767" s="10" t="s">
        <v>30</v>
      </c>
      <c r="E767" s="11" t="s">
        <v>5</v>
      </c>
      <c r="F767" s="12" t="s">
        <v>731</v>
      </c>
      <c r="G767" s="13">
        <v>3.3</v>
      </c>
      <c r="H767" s="12" t="s">
        <v>30</v>
      </c>
      <c r="I767" s="14" t="s">
        <v>39</v>
      </c>
    </row>
    <row r="768" spans="2:9">
      <c r="B768" s="48" t="s">
        <v>59</v>
      </c>
      <c r="C768" s="51">
        <v>4.55</v>
      </c>
      <c r="D768" s="10" t="s">
        <v>30</v>
      </c>
      <c r="E768" s="11" t="s">
        <v>5</v>
      </c>
      <c r="F768" s="12" t="s">
        <v>290</v>
      </c>
      <c r="G768" s="12">
        <v>3.29</v>
      </c>
      <c r="H768" s="12" t="s">
        <v>48</v>
      </c>
      <c r="I768" s="14" t="s">
        <v>35</v>
      </c>
    </row>
    <row r="769" spans="2:9">
      <c r="B769" s="48" t="s">
        <v>54</v>
      </c>
      <c r="C769" s="52">
        <v>4.5</v>
      </c>
      <c r="D769" s="10" t="s">
        <v>30</v>
      </c>
      <c r="E769" s="11" t="s">
        <v>5</v>
      </c>
      <c r="F769" s="12" t="s">
        <v>314</v>
      </c>
      <c r="G769" s="12">
        <v>3.29</v>
      </c>
      <c r="H769" s="12" t="s">
        <v>48</v>
      </c>
      <c r="I769" s="14" t="s">
        <v>5</v>
      </c>
    </row>
    <row r="770" spans="2:9">
      <c r="B770" s="48" t="s">
        <v>55</v>
      </c>
      <c r="C770" s="52">
        <v>4.05</v>
      </c>
      <c r="D770" s="10" t="s">
        <v>30</v>
      </c>
      <c r="E770" s="11" t="s">
        <v>5</v>
      </c>
      <c r="F770" s="12" t="s">
        <v>314</v>
      </c>
      <c r="G770" s="12">
        <v>3.29</v>
      </c>
      <c r="H770" s="12" t="s">
        <v>71</v>
      </c>
      <c r="I770" s="14" t="s">
        <v>5</v>
      </c>
    </row>
    <row r="771" spans="2:9">
      <c r="B771" s="48" t="s">
        <v>28</v>
      </c>
      <c r="C771" s="51">
        <v>4.9400000000000004</v>
      </c>
      <c r="D771" s="10" t="s">
        <v>30</v>
      </c>
      <c r="E771" s="11" t="s">
        <v>5</v>
      </c>
      <c r="F771" s="12" t="s">
        <v>507</v>
      </c>
      <c r="G771" s="12">
        <v>3.29</v>
      </c>
      <c r="H771" s="12" t="s">
        <v>71</v>
      </c>
      <c r="I771" s="14" t="s">
        <v>5</v>
      </c>
    </row>
    <row r="772" spans="2:9">
      <c r="B772" s="48" t="s">
        <v>60</v>
      </c>
      <c r="C772" s="51">
        <v>4.55</v>
      </c>
      <c r="D772" s="10" t="s">
        <v>30</v>
      </c>
      <c r="E772" s="11" t="s">
        <v>5</v>
      </c>
      <c r="F772" s="12" t="s">
        <v>533</v>
      </c>
      <c r="G772" s="12">
        <v>3.29</v>
      </c>
      <c r="H772" s="12" t="s">
        <v>71</v>
      </c>
      <c r="I772" s="14" t="s">
        <v>5</v>
      </c>
    </row>
    <row r="773" spans="2:9">
      <c r="B773" s="53" t="s">
        <v>427</v>
      </c>
      <c r="C773" s="54">
        <v>3.8</v>
      </c>
      <c r="D773" s="10" t="s">
        <v>30</v>
      </c>
      <c r="E773" s="11" t="s">
        <v>5</v>
      </c>
      <c r="F773" s="12" t="s">
        <v>507</v>
      </c>
      <c r="G773" s="12">
        <v>3.29</v>
      </c>
      <c r="H773" s="12" t="s">
        <v>71</v>
      </c>
      <c r="I773" s="14" t="s">
        <v>5</v>
      </c>
    </row>
    <row r="774" spans="2:9">
      <c r="B774" s="48" t="s">
        <v>662</v>
      </c>
      <c r="C774" s="51">
        <v>3.47</v>
      </c>
      <c r="D774" s="10" t="s">
        <v>30</v>
      </c>
      <c r="E774" s="11" t="s">
        <v>5</v>
      </c>
      <c r="F774" s="12" t="s">
        <v>582</v>
      </c>
      <c r="G774" s="12">
        <v>3.29</v>
      </c>
      <c r="H774" s="12" t="s">
        <v>71</v>
      </c>
      <c r="I774" s="14" t="s">
        <v>5</v>
      </c>
    </row>
    <row r="775" spans="2:9">
      <c r="B775" s="48" t="s">
        <v>175</v>
      </c>
      <c r="C775" s="51">
        <v>4.1500000000000004</v>
      </c>
      <c r="D775" s="10" t="s">
        <v>30</v>
      </c>
      <c r="E775" s="11" t="s">
        <v>5</v>
      </c>
      <c r="F775" s="12" t="s">
        <v>507</v>
      </c>
      <c r="G775" s="17">
        <v>3.29</v>
      </c>
      <c r="H775" s="12" t="s">
        <v>38</v>
      </c>
      <c r="I775" s="14" t="s">
        <v>5</v>
      </c>
    </row>
    <row r="776" spans="2:9">
      <c r="B776" s="48" t="s">
        <v>563</v>
      </c>
      <c r="C776" s="51">
        <v>3.63</v>
      </c>
      <c r="D776" s="10" t="s">
        <v>30</v>
      </c>
      <c r="E776" s="11" t="s">
        <v>5</v>
      </c>
      <c r="F776" s="12" t="s">
        <v>682</v>
      </c>
      <c r="G776" s="13">
        <v>3.29</v>
      </c>
      <c r="H776" s="12" t="s">
        <v>38</v>
      </c>
      <c r="I776" s="14" t="s">
        <v>5</v>
      </c>
    </row>
    <row r="777" spans="2:9">
      <c r="B777" s="48" t="s">
        <v>114</v>
      </c>
      <c r="C777" s="52">
        <v>4.3</v>
      </c>
      <c r="D777" s="10" t="s">
        <v>30</v>
      </c>
      <c r="E777" s="11" t="s">
        <v>5</v>
      </c>
      <c r="F777" s="12" t="s">
        <v>582</v>
      </c>
      <c r="G777" s="13">
        <v>3.29</v>
      </c>
      <c r="H777" s="12" t="s">
        <v>11</v>
      </c>
      <c r="I777" s="14" t="s">
        <v>5</v>
      </c>
    </row>
    <row r="778" spans="2:9">
      <c r="B778" s="48" t="s">
        <v>311</v>
      </c>
      <c r="C778" s="51">
        <v>3.9</v>
      </c>
      <c r="D778" s="10" t="s">
        <v>30</v>
      </c>
      <c r="E778" s="11" t="s">
        <v>5</v>
      </c>
      <c r="F778" s="12" t="s">
        <v>298</v>
      </c>
      <c r="G778" s="12">
        <v>3.28</v>
      </c>
      <c r="H778" s="12" t="s">
        <v>48</v>
      </c>
      <c r="I778" s="14" t="s">
        <v>5</v>
      </c>
    </row>
    <row r="779" spans="2:9">
      <c r="B779" s="48" t="s">
        <v>300</v>
      </c>
      <c r="C779" s="51">
        <v>3.94</v>
      </c>
      <c r="D779" s="10" t="s">
        <v>30</v>
      </c>
      <c r="E779" s="11" t="s">
        <v>35</v>
      </c>
      <c r="F779" s="12" t="s">
        <v>442</v>
      </c>
      <c r="G779" s="12">
        <v>3.28</v>
      </c>
      <c r="H779" s="12" t="s">
        <v>48</v>
      </c>
      <c r="I779" s="14" t="s">
        <v>5</v>
      </c>
    </row>
    <row r="780" spans="2:9">
      <c r="B780" s="48" t="s">
        <v>448</v>
      </c>
      <c r="C780" s="55">
        <v>3.78</v>
      </c>
      <c r="D780" s="10" t="s">
        <v>30</v>
      </c>
      <c r="E780" s="11" t="s">
        <v>5</v>
      </c>
      <c r="F780" s="12" t="s">
        <v>298</v>
      </c>
      <c r="G780" s="12">
        <v>3.28</v>
      </c>
      <c r="H780" s="12" t="s">
        <v>71</v>
      </c>
      <c r="I780" s="14" t="s">
        <v>5</v>
      </c>
    </row>
    <row r="781" spans="2:9">
      <c r="B781" s="48" t="s">
        <v>356</v>
      </c>
      <c r="C781" s="51">
        <v>3.88</v>
      </c>
      <c r="D781" s="10" t="s">
        <v>30</v>
      </c>
      <c r="E781" s="11" t="s">
        <v>5</v>
      </c>
      <c r="F781" s="12" t="s">
        <v>298</v>
      </c>
      <c r="G781" s="12">
        <v>3.28</v>
      </c>
      <c r="H781" s="12" t="s">
        <v>71</v>
      </c>
      <c r="I781" s="14" t="s">
        <v>5</v>
      </c>
    </row>
    <row r="782" spans="2:9">
      <c r="B782" s="48" t="s">
        <v>673</v>
      </c>
      <c r="C782" s="51">
        <v>3.44</v>
      </c>
      <c r="D782" s="10" t="s">
        <v>30</v>
      </c>
      <c r="E782" s="11" t="s">
        <v>39</v>
      </c>
      <c r="F782" s="12" t="s">
        <v>496</v>
      </c>
      <c r="G782" s="17">
        <v>3.28</v>
      </c>
      <c r="H782" s="12" t="s">
        <v>71</v>
      </c>
      <c r="I782" s="14" t="s">
        <v>5</v>
      </c>
    </row>
    <row r="783" spans="2:9">
      <c r="B783" s="48" t="s">
        <v>485</v>
      </c>
      <c r="C783" s="51">
        <v>3.73</v>
      </c>
      <c r="D783" s="10" t="s">
        <v>30</v>
      </c>
      <c r="E783" s="11" t="s">
        <v>5</v>
      </c>
      <c r="F783" s="12" t="s">
        <v>569</v>
      </c>
      <c r="G783" s="12">
        <v>3.28</v>
      </c>
      <c r="H783" s="12" t="s">
        <v>71</v>
      </c>
      <c r="I783" s="14" t="s">
        <v>5</v>
      </c>
    </row>
    <row r="784" spans="2:9">
      <c r="B784" s="48" t="s">
        <v>732</v>
      </c>
      <c r="C784" s="56"/>
      <c r="D784" s="10" t="s">
        <v>30</v>
      </c>
      <c r="E784" s="11" t="s">
        <v>5</v>
      </c>
      <c r="F784" s="12" t="s">
        <v>298</v>
      </c>
      <c r="G784" s="17">
        <v>3.28</v>
      </c>
      <c r="H784" s="12" t="s">
        <v>58</v>
      </c>
      <c r="I784" s="14" t="s">
        <v>5</v>
      </c>
    </row>
    <row r="785" spans="2:9">
      <c r="B785" s="48" t="s">
        <v>704</v>
      </c>
      <c r="C785" s="51">
        <v>3.37</v>
      </c>
      <c r="D785" s="10" t="s">
        <v>30</v>
      </c>
      <c r="E785" s="11" t="s">
        <v>5</v>
      </c>
      <c r="F785" s="12" t="s">
        <v>298</v>
      </c>
      <c r="G785" s="17">
        <v>3.28</v>
      </c>
      <c r="H785" s="12" t="s">
        <v>58</v>
      </c>
      <c r="I785" s="14" t="s">
        <v>5</v>
      </c>
    </row>
    <row r="786" spans="2:9">
      <c r="B786" s="48" t="s">
        <v>301</v>
      </c>
      <c r="C786" s="51">
        <v>3.94</v>
      </c>
      <c r="D786" s="10" t="s">
        <v>30</v>
      </c>
      <c r="E786" s="11" t="s">
        <v>5</v>
      </c>
      <c r="F786" s="12" t="s">
        <v>694</v>
      </c>
      <c r="G786" s="13">
        <v>3.28</v>
      </c>
      <c r="H786" s="12" t="s">
        <v>102</v>
      </c>
      <c r="I786" s="14" t="s">
        <v>5</v>
      </c>
    </row>
    <row r="787" spans="2:9">
      <c r="B787" s="48" t="s">
        <v>686</v>
      </c>
      <c r="C787" s="51">
        <v>3.42</v>
      </c>
      <c r="D787" s="10" t="s">
        <v>30</v>
      </c>
      <c r="E787" s="11" t="s">
        <v>5</v>
      </c>
      <c r="F787" s="12" t="s">
        <v>298</v>
      </c>
      <c r="G787" s="13">
        <v>3.28</v>
      </c>
      <c r="H787" s="12" t="s">
        <v>11</v>
      </c>
      <c r="I787" s="14" t="s">
        <v>5</v>
      </c>
    </row>
    <row r="788" spans="2:9">
      <c r="B788" s="48" t="s">
        <v>177</v>
      </c>
      <c r="C788" s="55">
        <v>4.1500000000000004</v>
      </c>
      <c r="D788" s="10" t="s">
        <v>30</v>
      </c>
      <c r="E788" s="11" t="s">
        <v>5</v>
      </c>
      <c r="F788" s="12" t="s">
        <v>733</v>
      </c>
      <c r="G788" s="13">
        <v>3.28</v>
      </c>
      <c r="H788" s="12" t="s">
        <v>58</v>
      </c>
      <c r="I788" s="14" t="s">
        <v>5</v>
      </c>
    </row>
    <row r="789" spans="2:9">
      <c r="B789" s="48" t="s">
        <v>130</v>
      </c>
      <c r="C789" s="51">
        <v>3.47</v>
      </c>
      <c r="D789" s="10" t="s">
        <v>30</v>
      </c>
      <c r="E789" s="11" t="s">
        <v>5</v>
      </c>
      <c r="F789" s="12" t="s">
        <v>734</v>
      </c>
      <c r="G789" s="13">
        <v>3.28</v>
      </c>
      <c r="H789" s="12" t="s">
        <v>4</v>
      </c>
      <c r="I789" s="14" t="s">
        <v>5</v>
      </c>
    </row>
    <row r="790" spans="2:9">
      <c r="B790" s="48" t="s">
        <v>303</v>
      </c>
      <c r="C790" s="51">
        <v>3.94</v>
      </c>
      <c r="D790" s="10" t="s">
        <v>30</v>
      </c>
      <c r="E790" s="11" t="s">
        <v>5</v>
      </c>
      <c r="F790" s="12" t="s">
        <v>735</v>
      </c>
      <c r="G790" s="13">
        <v>3.28</v>
      </c>
      <c r="H790" s="12" t="s">
        <v>71</v>
      </c>
      <c r="I790" s="14" t="s">
        <v>35</v>
      </c>
    </row>
    <row r="791" spans="2:9">
      <c r="B791" s="48" t="s">
        <v>179</v>
      </c>
      <c r="C791" s="51">
        <v>4.1500000000000004</v>
      </c>
      <c r="D791" s="10" t="s">
        <v>30</v>
      </c>
      <c r="E791" s="11" t="s">
        <v>5</v>
      </c>
      <c r="F791" s="12" t="s">
        <v>106</v>
      </c>
      <c r="G791" s="12">
        <v>3.27</v>
      </c>
      <c r="H791" s="12" t="s">
        <v>4</v>
      </c>
      <c r="I791" s="14" t="s">
        <v>5</v>
      </c>
    </row>
    <row r="792" spans="2:9">
      <c r="B792" s="48" t="s">
        <v>687</v>
      </c>
      <c r="C792" s="51">
        <v>3.42</v>
      </c>
      <c r="D792" s="10" t="s">
        <v>30</v>
      </c>
      <c r="E792" s="11" t="s">
        <v>39</v>
      </c>
      <c r="F792" s="12" t="s">
        <v>463</v>
      </c>
      <c r="G792" s="17">
        <v>3.27</v>
      </c>
      <c r="H792" s="12" t="s">
        <v>71</v>
      </c>
      <c r="I792" s="14" t="s">
        <v>35</v>
      </c>
    </row>
    <row r="793" spans="2:9">
      <c r="B793" s="48" t="s">
        <v>736</v>
      </c>
      <c r="C793" s="51">
        <v>3.27</v>
      </c>
      <c r="D793" s="10" t="s">
        <v>30</v>
      </c>
      <c r="E793" s="11" t="s">
        <v>5</v>
      </c>
      <c r="F793" s="12" t="s">
        <v>476</v>
      </c>
      <c r="G793" s="12">
        <v>3.27</v>
      </c>
      <c r="H793" s="12" t="s">
        <v>71</v>
      </c>
      <c r="I793" s="14" t="s">
        <v>5</v>
      </c>
    </row>
    <row r="794" spans="2:9">
      <c r="B794" s="48" t="s">
        <v>398</v>
      </c>
      <c r="C794" s="51">
        <v>3.84</v>
      </c>
      <c r="D794" s="10" t="s">
        <v>30</v>
      </c>
      <c r="E794" s="11" t="s">
        <v>5</v>
      </c>
      <c r="F794" s="12" t="s">
        <v>486</v>
      </c>
      <c r="G794" s="12">
        <v>3.27</v>
      </c>
      <c r="H794" s="12" t="s">
        <v>71</v>
      </c>
      <c r="I794" s="14" t="s">
        <v>5</v>
      </c>
    </row>
    <row r="795" spans="2:9">
      <c r="B795" s="48" t="s">
        <v>358</v>
      </c>
      <c r="C795" s="51">
        <v>3.88</v>
      </c>
      <c r="D795" s="10" t="s">
        <v>30</v>
      </c>
      <c r="E795" s="11" t="s">
        <v>5</v>
      </c>
      <c r="F795" s="12" t="s">
        <v>549</v>
      </c>
      <c r="G795" s="17">
        <v>3.27</v>
      </c>
      <c r="H795" s="12" t="s">
        <v>71</v>
      </c>
      <c r="I795" s="14" t="s">
        <v>5</v>
      </c>
    </row>
    <row r="796" spans="2:9">
      <c r="B796" s="48" t="s">
        <v>730</v>
      </c>
      <c r="C796" s="52">
        <v>3.3</v>
      </c>
      <c r="D796" s="10" t="s">
        <v>30</v>
      </c>
      <c r="E796" s="11" t="s">
        <v>5</v>
      </c>
      <c r="F796" s="12" t="s">
        <v>476</v>
      </c>
      <c r="G796" s="12">
        <v>3.27</v>
      </c>
      <c r="H796" s="12" t="s">
        <v>58</v>
      </c>
      <c r="I796" s="14" t="s">
        <v>5</v>
      </c>
    </row>
    <row r="797" spans="2:9">
      <c r="B797" s="48" t="s">
        <v>674</v>
      </c>
      <c r="C797" s="51">
        <v>3.44</v>
      </c>
      <c r="D797" s="10" t="s">
        <v>30</v>
      </c>
      <c r="E797" s="11" t="s">
        <v>5</v>
      </c>
      <c r="F797" s="12" t="s">
        <v>529</v>
      </c>
      <c r="G797" s="17">
        <v>3.27</v>
      </c>
      <c r="H797" s="12" t="s">
        <v>58</v>
      </c>
      <c r="I797" s="14" t="s">
        <v>5</v>
      </c>
    </row>
    <row r="798" spans="2:9">
      <c r="B798" s="48" t="s">
        <v>143</v>
      </c>
      <c r="C798" s="51">
        <v>3.55</v>
      </c>
      <c r="D798" s="10" t="s">
        <v>30</v>
      </c>
      <c r="E798" s="11" t="s">
        <v>5</v>
      </c>
      <c r="F798" s="12" t="s">
        <v>549</v>
      </c>
      <c r="G798" s="13">
        <v>3.27</v>
      </c>
      <c r="H798" s="12" t="s">
        <v>102</v>
      </c>
      <c r="I798" s="14" t="s">
        <v>5</v>
      </c>
    </row>
    <row r="799" spans="2:9">
      <c r="B799" s="48" t="s">
        <v>702</v>
      </c>
      <c r="C799" s="51">
        <v>3.38</v>
      </c>
      <c r="D799" s="10" t="s">
        <v>30</v>
      </c>
      <c r="E799" s="11" t="s">
        <v>5</v>
      </c>
      <c r="F799" s="12" t="s">
        <v>476</v>
      </c>
      <c r="G799" s="13">
        <v>3.27</v>
      </c>
      <c r="H799" s="12" t="s">
        <v>11</v>
      </c>
      <c r="I799" s="14" t="s">
        <v>5</v>
      </c>
    </row>
    <row r="800" spans="2:9">
      <c r="B800" s="48" t="s">
        <v>737</v>
      </c>
      <c r="C800" s="51">
        <v>3.23</v>
      </c>
      <c r="D800" s="10" t="s">
        <v>30</v>
      </c>
      <c r="E800" s="11" t="s">
        <v>5</v>
      </c>
      <c r="F800" s="12" t="s">
        <v>549</v>
      </c>
      <c r="G800" s="13">
        <v>3.27</v>
      </c>
      <c r="H800" s="12" t="s">
        <v>11</v>
      </c>
      <c r="I800" s="14" t="s">
        <v>5</v>
      </c>
    </row>
    <row r="801" spans="2:9">
      <c r="B801" s="48" t="s">
        <v>542</v>
      </c>
      <c r="C801" s="51">
        <v>3.65</v>
      </c>
      <c r="D801" s="10" t="s">
        <v>30</v>
      </c>
      <c r="E801" s="11" t="s">
        <v>5</v>
      </c>
      <c r="F801" s="12" t="s">
        <v>736</v>
      </c>
      <c r="G801" s="13">
        <v>3.27</v>
      </c>
      <c r="H801" s="12" t="s">
        <v>30</v>
      </c>
      <c r="I801" s="14" t="s">
        <v>5</v>
      </c>
    </row>
    <row r="802" spans="2:9">
      <c r="B802" s="50" t="s">
        <v>499</v>
      </c>
      <c r="C802" s="51">
        <v>3.72</v>
      </c>
      <c r="D802" s="10" t="s">
        <v>30</v>
      </c>
      <c r="E802" s="11" t="s">
        <v>5</v>
      </c>
      <c r="F802" s="12" t="s">
        <v>738</v>
      </c>
      <c r="G802" s="13">
        <v>3.27</v>
      </c>
      <c r="H802" s="12" t="s">
        <v>71</v>
      </c>
      <c r="I802" s="14" t="s">
        <v>35</v>
      </c>
    </row>
    <row r="803" spans="2:9">
      <c r="B803" s="50" t="s">
        <v>565</v>
      </c>
      <c r="C803" s="51">
        <v>3.63</v>
      </c>
      <c r="D803" s="10" t="s">
        <v>30</v>
      </c>
      <c r="E803" s="11" t="s">
        <v>5</v>
      </c>
      <c r="F803" s="12" t="s">
        <v>275</v>
      </c>
      <c r="G803" s="17">
        <v>3.26</v>
      </c>
      <c r="H803" s="12" t="s">
        <v>48</v>
      </c>
      <c r="I803" s="14" t="s">
        <v>35</v>
      </c>
    </row>
    <row r="804" spans="2:9">
      <c r="B804" s="50" t="s">
        <v>282</v>
      </c>
      <c r="C804" s="51">
        <v>3.95</v>
      </c>
      <c r="D804" s="10" t="s">
        <v>30</v>
      </c>
      <c r="E804" s="11" t="s">
        <v>5</v>
      </c>
      <c r="F804" s="12" t="s">
        <v>376</v>
      </c>
      <c r="G804" s="17">
        <v>3.26</v>
      </c>
      <c r="H804" s="12" t="s">
        <v>48</v>
      </c>
      <c r="I804" s="14" t="s">
        <v>5</v>
      </c>
    </row>
    <row r="805" spans="2:9">
      <c r="B805" s="50" t="s">
        <v>739</v>
      </c>
      <c r="C805" s="51">
        <v>3.21</v>
      </c>
      <c r="D805" s="10" t="s">
        <v>30</v>
      </c>
      <c r="E805" s="11" t="s">
        <v>5</v>
      </c>
      <c r="F805" s="12" t="s">
        <v>420</v>
      </c>
      <c r="G805" s="17">
        <v>3.26</v>
      </c>
      <c r="H805" s="12" t="s">
        <v>48</v>
      </c>
      <c r="I805" s="14" t="s">
        <v>5</v>
      </c>
    </row>
    <row r="806" spans="2:9">
      <c r="B806" s="48" t="s">
        <v>604</v>
      </c>
      <c r="C806" s="51">
        <v>3.58</v>
      </c>
      <c r="D806" s="10" t="s">
        <v>30</v>
      </c>
      <c r="E806" s="11" t="s">
        <v>5</v>
      </c>
      <c r="F806" s="12" t="s">
        <v>494</v>
      </c>
      <c r="G806" s="17">
        <v>3.26</v>
      </c>
      <c r="H806" s="12" t="s">
        <v>71</v>
      </c>
      <c r="I806" s="14" t="s">
        <v>39</v>
      </c>
    </row>
    <row r="807" spans="2:9">
      <c r="B807" s="50" t="s">
        <v>73</v>
      </c>
      <c r="C807" s="51">
        <v>4.42</v>
      </c>
      <c r="D807" s="10" t="s">
        <v>30</v>
      </c>
      <c r="E807" s="11" t="s">
        <v>5</v>
      </c>
      <c r="F807" s="12" t="s">
        <v>497</v>
      </c>
      <c r="G807" s="12">
        <v>3.26</v>
      </c>
      <c r="H807" s="12" t="s">
        <v>71</v>
      </c>
      <c r="I807" s="14" t="s">
        <v>5</v>
      </c>
    </row>
    <row r="808" spans="2:9">
      <c r="B808" s="50" t="s">
        <v>304</v>
      </c>
      <c r="C808" s="51">
        <v>3.94</v>
      </c>
      <c r="D808" s="10" t="s">
        <v>30</v>
      </c>
      <c r="E808" s="11" t="s">
        <v>5</v>
      </c>
      <c r="F808" s="12" t="s">
        <v>501</v>
      </c>
      <c r="G808" s="12">
        <v>3.26</v>
      </c>
      <c r="H808" s="12" t="s">
        <v>71</v>
      </c>
      <c r="I808" s="14" t="s">
        <v>5</v>
      </c>
    </row>
    <row r="809" spans="2:9">
      <c r="B809" s="48" t="s">
        <v>740</v>
      </c>
      <c r="C809" s="51">
        <v>3.21</v>
      </c>
      <c r="D809" s="10" t="s">
        <v>30</v>
      </c>
      <c r="E809" s="11" t="s">
        <v>5</v>
      </c>
      <c r="F809" s="12" t="s">
        <v>501</v>
      </c>
      <c r="G809" s="12">
        <v>3.26</v>
      </c>
      <c r="H809" s="12" t="s">
        <v>71</v>
      </c>
      <c r="I809" s="14" t="s">
        <v>5</v>
      </c>
    </row>
    <row r="810" spans="2:9">
      <c r="B810" s="48" t="s">
        <v>400</v>
      </c>
      <c r="C810" s="51">
        <v>3.84</v>
      </c>
      <c r="D810" s="10" t="s">
        <v>30</v>
      </c>
      <c r="E810" s="11" t="s">
        <v>5</v>
      </c>
      <c r="F810" s="12" t="s">
        <v>517</v>
      </c>
      <c r="G810" s="12">
        <v>3.26</v>
      </c>
      <c r="H810" s="12" t="s">
        <v>71</v>
      </c>
      <c r="I810" s="14" t="s">
        <v>5</v>
      </c>
    </row>
    <row r="811" spans="2:9">
      <c r="B811" s="48" t="s">
        <v>644</v>
      </c>
      <c r="C811" s="52">
        <v>3.5</v>
      </c>
      <c r="D811" s="10" t="s">
        <v>30</v>
      </c>
      <c r="E811" s="11" t="s">
        <v>5</v>
      </c>
      <c r="F811" s="12" t="s">
        <v>376</v>
      </c>
      <c r="G811" s="17">
        <v>3.26</v>
      </c>
      <c r="H811" s="12" t="s">
        <v>71</v>
      </c>
      <c r="I811" s="14" t="s">
        <v>5</v>
      </c>
    </row>
    <row r="812" spans="2:9">
      <c r="B812" s="48" t="s">
        <v>741</v>
      </c>
      <c r="C812" s="51">
        <v>3</v>
      </c>
      <c r="D812" s="10" t="s">
        <v>30</v>
      </c>
      <c r="E812" s="11" t="s">
        <v>5</v>
      </c>
      <c r="F812" s="12" t="s">
        <v>420</v>
      </c>
      <c r="G812" s="12">
        <v>3.26</v>
      </c>
      <c r="H812" s="12" t="s">
        <v>71</v>
      </c>
      <c r="I812" s="14" t="s">
        <v>5</v>
      </c>
    </row>
    <row r="813" spans="2:9">
      <c r="B813" s="48" t="s">
        <v>742</v>
      </c>
      <c r="C813" s="52">
        <v>3.25</v>
      </c>
      <c r="D813" s="10" t="s">
        <v>30</v>
      </c>
      <c r="E813" s="11" t="s">
        <v>35</v>
      </c>
      <c r="F813" s="12" t="s">
        <v>613</v>
      </c>
      <c r="G813" s="12">
        <v>3.26</v>
      </c>
      <c r="H813" s="12" t="s">
        <v>58</v>
      </c>
      <c r="I813" s="14" t="s">
        <v>5</v>
      </c>
    </row>
    <row r="814" spans="2:9">
      <c r="B814" s="48" t="s">
        <v>338</v>
      </c>
      <c r="C814" s="51">
        <v>3.89</v>
      </c>
      <c r="D814" s="10" t="s">
        <v>30</v>
      </c>
      <c r="E814" s="11" t="s">
        <v>5</v>
      </c>
      <c r="F814" s="12" t="s">
        <v>501</v>
      </c>
      <c r="G814" s="17">
        <v>3.26</v>
      </c>
      <c r="H814" s="12" t="s">
        <v>58</v>
      </c>
      <c r="I814" s="14" t="s">
        <v>5</v>
      </c>
    </row>
    <row r="815" spans="2:9">
      <c r="B815" s="48" t="s">
        <v>111</v>
      </c>
      <c r="C815" s="51">
        <v>4.3099999999999996</v>
      </c>
      <c r="D815" s="10" t="s">
        <v>30</v>
      </c>
      <c r="E815" s="11" t="s">
        <v>5</v>
      </c>
      <c r="F815" s="12" t="s">
        <v>420</v>
      </c>
      <c r="G815" s="17">
        <v>3.26</v>
      </c>
      <c r="H815" s="12" t="s">
        <v>58</v>
      </c>
      <c r="I815" s="14" t="s">
        <v>5</v>
      </c>
    </row>
    <row r="816" spans="2:9">
      <c r="B816" s="48" t="s">
        <v>731</v>
      </c>
      <c r="C816" s="51">
        <v>3.3</v>
      </c>
      <c r="D816" s="10" t="s">
        <v>30</v>
      </c>
      <c r="E816" s="11" t="s">
        <v>39</v>
      </c>
      <c r="F816" s="12" t="s">
        <v>225</v>
      </c>
      <c r="G816" s="17">
        <v>3.26</v>
      </c>
      <c r="H816" s="12" t="s">
        <v>58</v>
      </c>
      <c r="I816" s="14" t="s">
        <v>5</v>
      </c>
    </row>
    <row r="817" spans="2:9">
      <c r="B817" s="48" t="s">
        <v>103</v>
      </c>
      <c r="C817" s="57">
        <v>4.33</v>
      </c>
      <c r="D817" s="10" t="s">
        <v>30</v>
      </c>
      <c r="E817" s="11" t="s">
        <v>5</v>
      </c>
      <c r="F817" s="12" t="s">
        <v>376</v>
      </c>
      <c r="G817" s="13">
        <v>3.26</v>
      </c>
      <c r="H817" s="12" t="s">
        <v>102</v>
      </c>
      <c r="I817" s="14" t="s">
        <v>5</v>
      </c>
    </row>
    <row r="818" spans="2:9">
      <c r="B818" s="48" t="s">
        <v>663</v>
      </c>
      <c r="C818" s="51">
        <v>3.47</v>
      </c>
      <c r="D818" s="10" t="s">
        <v>30</v>
      </c>
      <c r="E818" s="11" t="s">
        <v>5</v>
      </c>
      <c r="F818" s="12" t="s">
        <v>494</v>
      </c>
      <c r="G818" s="13">
        <v>3.26</v>
      </c>
      <c r="H818" s="12" t="s">
        <v>102</v>
      </c>
      <c r="I818" s="14" t="s">
        <v>5</v>
      </c>
    </row>
    <row r="819" spans="2:9">
      <c r="B819" s="48" t="s">
        <v>646</v>
      </c>
      <c r="C819" s="51">
        <v>3.5</v>
      </c>
      <c r="D819" s="10" t="s">
        <v>30</v>
      </c>
      <c r="E819" s="11" t="s">
        <v>39</v>
      </c>
      <c r="F819" s="12" t="s">
        <v>497</v>
      </c>
      <c r="G819" s="13">
        <v>3.26</v>
      </c>
      <c r="H819" s="12" t="s">
        <v>11</v>
      </c>
      <c r="I819" s="14" t="s">
        <v>5</v>
      </c>
    </row>
    <row r="820" spans="2:9">
      <c r="B820" s="48" t="s">
        <v>647</v>
      </c>
      <c r="C820" s="51">
        <v>3.5</v>
      </c>
      <c r="D820" s="10" t="s">
        <v>30</v>
      </c>
      <c r="E820" s="11" t="s">
        <v>5</v>
      </c>
      <c r="F820" s="12" t="s">
        <v>420</v>
      </c>
      <c r="G820" s="13">
        <v>3.26</v>
      </c>
      <c r="H820" s="12" t="s">
        <v>11</v>
      </c>
      <c r="I820" s="14" t="s">
        <v>5</v>
      </c>
    </row>
    <row r="821" spans="2:9">
      <c r="B821" s="48" t="s">
        <v>614</v>
      </c>
      <c r="C821" s="51">
        <v>3.56</v>
      </c>
      <c r="D821" s="10" t="s">
        <v>30</v>
      </c>
      <c r="E821" s="11" t="s">
        <v>5</v>
      </c>
      <c r="F821" s="12" t="s">
        <v>743</v>
      </c>
      <c r="G821" s="13">
        <v>3.26</v>
      </c>
      <c r="H821" s="12" t="s">
        <v>30</v>
      </c>
      <c r="I821" s="14" t="s">
        <v>5</v>
      </c>
    </row>
    <row r="822" spans="2:9">
      <c r="B822" s="48" t="s">
        <v>79</v>
      </c>
      <c r="C822" s="51">
        <v>4.41</v>
      </c>
      <c r="D822" s="10" t="s">
        <v>30</v>
      </c>
      <c r="E822" s="11" t="s">
        <v>5</v>
      </c>
      <c r="F822" s="12" t="s">
        <v>744</v>
      </c>
      <c r="G822" s="13">
        <v>3.26</v>
      </c>
      <c r="H822" s="12" t="s">
        <v>38</v>
      </c>
      <c r="I822" s="14" t="s">
        <v>5</v>
      </c>
    </row>
    <row r="823" spans="2:9">
      <c r="B823" s="48" t="s">
        <v>241</v>
      </c>
      <c r="C823" s="51">
        <v>4.05</v>
      </c>
      <c r="D823" s="10" t="s">
        <v>30</v>
      </c>
      <c r="E823" s="11" t="s">
        <v>5</v>
      </c>
      <c r="F823" s="12" t="s">
        <v>745</v>
      </c>
      <c r="G823" s="13">
        <v>3.26</v>
      </c>
      <c r="H823" s="12" t="s">
        <v>4</v>
      </c>
      <c r="I823" s="14" t="s">
        <v>5</v>
      </c>
    </row>
    <row r="824" spans="2:9">
      <c r="B824" s="48" t="s">
        <v>743</v>
      </c>
      <c r="C824" s="51">
        <v>3.26</v>
      </c>
      <c r="D824" s="10" t="s">
        <v>30</v>
      </c>
      <c r="E824" s="11" t="s">
        <v>5</v>
      </c>
      <c r="F824" s="12" t="s">
        <v>746</v>
      </c>
      <c r="G824" s="13">
        <v>3.26</v>
      </c>
      <c r="H824" s="12" t="s">
        <v>11</v>
      </c>
      <c r="I824" s="14" t="s">
        <v>35</v>
      </c>
    </row>
    <row r="825" spans="2:9">
      <c r="B825" s="48" t="s">
        <v>148</v>
      </c>
      <c r="C825" s="51">
        <v>4.21</v>
      </c>
      <c r="D825" s="10" t="s">
        <v>30</v>
      </c>
      <c r="E825" s="11" t="s">
        <v>5</v>
      </c>
      <c r="F825" s="12" t="s">
        <v>180</v>
      </c>
      <c r="G825" s="12">
        <v>3.25</v>
      </c>
      <c r="H825" s="12" t="s">
        <v>4</v>
      </c>
      <c r="I825" s="14" t="s">
        <v>5</v>
      </c>
    </row>
    <row r="826" spans="2:9">
      <c r="B826" s="48" t="s">
        <v>136</v>
      </c>
      <c r="C826" s="51">
        <v>4.25</v>
      </c>
      <c r="D826" s="10" t="s">
        <v>30</v>
      </c>
      <c r="E826" s="11" t="s">
        <v>5</v>
      </c>
      <c r="F826" s="12" t="s">
        <v>445</v>
      </c>
      <c r="G826" s="12">
        <v>3.25</v>
      </c>
      <c r="H826" s="12" t="s">
        <v>71</v>
      </c>
      <c r="I826" s="14" t="s">
        <v>35</v>
      </c>
    </row>
    <row r="827" spans="2:9">
      <c r="B827" s="48" t="s">
        <v>566</v>
      </c>
      <c r="C827" s="51">
        <v>3.63</v>
      </c>
      <c r="D827" s="10" t="s">
        <v>30</v>
      </c>
      <c r="E827" s="11" t="s">
        <v>5</v>
      </c>
      <c r="F827" s="12" t="s">
        <v>668</v>
      </c>
      <c r="G827" s="12">
        <v>3.25</v>
      </c>
      <c r="H827" s="12" t="s">
        <v>38</v>
      </c>
      <c r="I827" s="14" t="s">
        <v>5</v>
      </c>
    </row>
    <row r="828" spans="2:9">
      <c r="B828" s="50" t="s">
        <v>688</v>
      </c>
      <c r="C828" s="51">
        <v>3.42</v>
      </c>
      <c r="D828" s="10" t="s">
        <v>30</v>
      </c>
      <c r="E828" s="11" t="s">
        <v>39</v>
      </c>
      <c r="F828" s="12" t="s">
        <v>544</v>
      </c>
      <c r="G828" s="13">
        <v>3.25</v>
      </c>
      <c r="H828" s="12" t="s">
        <v>102</v>
      </c>
      <c r="I828" s="14" t="s">
        <v>39</v>
      </c>
    </row>
    <row r="829" spans="2:9">
      <c r="B829" s="48" t="s">
        <v>134</v>
      </c>
      <c r="C829" s="51">
        <v>4.26</v>
      </c>
      <c r="D829" s="10" t="s">
        <v>30</v>
      </c>
      <c r="E829" s="11" t="s">
        <v>39</v>
      </c>
      <c r="F829" s="12" t="s">
        <v>742</v>
      </c>
      <c r="G829" s="12">
        <v>3.25</v>
      </c>
      <c r="H829" s="12" t="s">
        <v>30</v>
      </c>
      <c r="I829" s="14" t="s">
        <v>35</v>
      </c>
    </row>
    <row r="830" spans="2:9">
      <c r="B830" s="48" t="s">
        <v>689</v>
      </c>
      <c r="C830" s="51">
        <v>3.42</v>
      </c>
      <c r="D830" s="10" t="s">
        <v>30</v>
      </c>
      <c r="E830" s="11" t="s">
        <v>5</v>
      </c>
      <c r="F830" s="12" t="s">
        <v>747</v>
      </c>
      <c r="G830" s="13">
        <v>3.25</v>
      </c>
      <c r="H830" s="12" t="s">
        <v>71</v>
      </c>
      <c r="I830" s="14" t="s">
        <v>5</v>
      </c>
    </row>
    <row r="831" spans="2:9">
      <c r="B831" s="48" t="s">
        <v>372</v>
      </c>
      <c r="C831" s="51">
        <v>3.85</v>
      </c>
      <c r="D831" s="10" t="s">
        <v>30</v>
      </c>
      <c r="E831" s="11" t="s">
        <v>5</v>
      </c>
      <c r="F831" s="12" t="s">
        <v>653</v>
      </c>
      <c r="G831" s="17">
        <v>3.24</v>
      </c>
      <c r="H831" s="12" t="s">
        <v>38</v>
      </c>
      <c r="I831" s="14" t="s">
        <v>5</v>
      </c>
    </row>
    <row r="832" spans="2:9">
      <c r="B832" s="48" t="s">
        <v>568</v>
      </c>
      <c r="C832" s="51">
        <v>3.63</v>
      </c>
      <c r="D832" s="10" t="s">
        <v>30</v>
      </c>
      <c r="E832" s="11" t="s">
        <v>5</v>
      </c>
      <c r="F832" s="12" t="s">
        <v>671</v>
      </c>
      <c r="G832" s="13">
        <v>3.24</v>
      </c>
      <c r="H832" s="12" t="s">
        <v>38</v>
      </c>
      <c r="I832" s="14" t="s">
        <v>5</v>
      </c>
    </row>
    <row r="833" spans="2:9">
      <c r="B833" s="48" t="s">
        <v>706</v>
      </c>
      <c r="C833" s="51">
        <v>3.37</v>
      </c>
      <c r="D833" s="10" t="s">
        <v>30</v>
      </c>
      <c r="E833" s="11" t="s">
        <v>39</v>
      </c>
      <c r="F833" s="12" t="s">
        <v>147</v>
      </c>
      <c r="G833" s="12">
        <v>3.23</v>
      </c>
      <c r="H833" s="12" t="s">
        <v>4</v>
      </c>
      <c r="I833" s="14" t="s">
        <v>5</v>
      </c>
    </row>
    <row r="834" spans="2:9">
      <c r="B834" s="48" t="s">
        <v>450</v>
      </c>
      <c r="C834" s="51">
        <v>3.78</v>
      </c>
      <c r="D834" s="10" t="s">
        <v>30</v>
      </c>
      <c r="E834" s="11" t="s">
        <v>5</v>
      </c>
      <c r="F834" s="12" t="s">
        <v>334</v>
      </c>
      <c r="G834" s="12">
        <v>3.23</v>
      </c>
      <c r="H834" s="12" t="s">
        <v>48</v>
      </c>
      <c r="I834" s="14" t="s">
        <v>5</v>
      </c>
    </row>
    <row r="835" spans="2:9">
      <c r="B835" s="48" t="s">
        <v>724</v>
      </c>
      <c r="C835" s="51">
        <v>3.32</v>
      </c>
      <c r="D835" s="10" t="s">
        <v>30</v>
      </c>
      <c r="E835" s="11" t="s">
        <v>5</v>
      </c>
      <c r="F835" s="12" t="s">
        <v>514</v>
      </c>
      <c r="G835" s="12">
        <v>3.23</v>
      </c>
      <c r="H835" s="12" t="s">
        <v>71</v>
      </c>
      <c r="I835" s="14" t="s">
        <v>5</v>
      </c>
    </row>
    <row r="836" spans="2:9">
      <c r="B836" s="48" t="s">
        <v>575</v>
      </c>
      <c r="C836" s="51">
        <v>3.62</v>
      </c>
      <c r="D836" s="10" t="s">
        <v>30</v>
      </c>
      <c r="E836" s="11" t="s">
        <v>35</v>
      </c>
      <c r="F836" s="12" t="s">
        <v>514</v>
      </c>
      <c r="G836" s="17">
        <v>3.23</v>
      </c>
      <c r="H836" s="12" t="s">
        <v>58</v>
      </c>
      <c r="I836" s="14" t="s">
        <v>5</v>
      </c>
    </row>
    <row r="837" spans="2:9">
      <c r="B837" s="48" t="s">
        <v>700</v>
      </c>
      <c r="C837" s="51">
        <v>3.39</v>
      </c>
      <c r="D837" s="10" t="s">
        <v>30</v>
      </c>
      <c r="E837" s="11" t="s">
        <v>5</v>
      </c>
      <c r="F837" s="12" t="s">
        <v>514</v>
      </c>
      <c r="G837" s="17">
        <v>3.23</v>
      </c>
      <c r="H837" s="12" t="s">
        <v>38</v>
      </c>
      <c r="I837" s="14" t="s">
        <v>5</v>
      </c>
    </row>
    <row r="838" spans="2:9">
      <c r="B838" s="48" t="s">
        <v>150</v>
      </c>
      <c r="C838" s="51">
        <v>4.21</v>
      </c>
      <c r="D838" s="10" t="s">
        <v>30</v>
      </c>
      <c r="E838" s="11" t="s">
        <v>5</v>
      </c>
      <c r="F838" s="12" t="s">
        <v>514</v>
      </c>
      <c r="G838" s="13">
        <v>3.23</v>
      </c>
      <c r="H838" s="12" t="s">
        <v>102</v>
      </c>
      <c r="I838" s="14" t="s">
        <v>5</v>
      </c>
    </row>
    <row r="839" spans="2:9">
      <c r="B839" s="48" t="s">
        <v>230</v>
      </c>
      <c r="C839" s="51">
        <v>3.58</v>
      </c>
      <c r="D839" s="10" t="s">
        <v>30</v>
      </c>
      <c r="E839" s="11" t="s">
        <v>5</v>
      </c>
      <c r="F839" s="12" t="s">
        <v>514</v>
      </c>
      <c r="G839" s="13">
        <v>3.23</v>
      </c>
      <c r="H839" s="12" t="s">
        <v>11</v>
      </c>
      <c r="I839" s="14" t="s">
        <v>5</v>
      </c>
    </row>
    <row r="840" spans="2:9">
      <c r="B840" s="48" t="s">
        <v>725</v>
      </c>
      <c r="C840" s="51">
        <v>3.32</v>
      </c>
      <c r="D840" s="10" t="s">
        <v>30</v>
      </c>
      <c r="E840" s="11" t="s">
        <v>5</v>
      </c>
      <c r="F840" s="12" t="s">
        <v>737</v>
      </c>
      <c r="G840" s="13">
        <v>3.23</v>
      </c>
      <c r="H840" s="12" t="s">
        <v>30</v>
      </c>
      <c r="I840" s="14" t="s">
        <v>5</v>
      </c>
    </row>
    <row r="841" spans="2:9">
      <c r="B841" s="48" t="s">
        <v>715</v>
      </c>
      <c r="C841" s="51">
        <v>3.35</v>
      </c>
      <c r="D841" s="10" t="s">
        <v>30</v>
      </c>
      <c r="E841" s="11" t="s">
        <v>5</v>
      </c>
      <c r="F841" s="12" t="s">
        <v>214</v>
      </c>
      <c r="G841" s="12">
        <v>3.22</v>
      </c>
      <c r="H841" s="12" t="s">
        <v>4</v>
      </c>
      <c r="I841" s="14" t="s">
        <v>5</v>
      </c>
    </row>
    <row r="842" spans="2:9">
      <c r="B842" s="48" t="s">
        <v>628</v>
      </c>
      <c r="C842" s="51">
        <v>3.53</v>
      </c>
      <c r="D842" s="10" t="s">
        <v>30</v>
      </c>
      <c r="E842" s="11" t="s">
        <v>5</v>
      </c>
      <c r="F842" s="12" t="s">
        <v>424</v>
      </c>
      <c r="G842" s="12">
        <v>3.22</v>
      </c>
      <c r="H842" s="12" t="s">
        <v>48</v>
      </c>
      <c r="I842" s="14" t="s">
        <v>5</v>
      </c>
    </row>
    <row r="843" spans="2:9">
      <c r="B843" s="48" t="s">
        <v>451</v>
      </c>
      <c r="C843" s="51">
        <v>3.78</v>
      </c>
      <c r="D843" s="10" t="s">
        <v>30</v>
      </c>
      <c r="E843" s="11" t="s">
        <v>5</v>
      </c>
      <c r="F843" s="12" t="s">
        <v>432</v>
      </c>
      <c r="G843" s="12">
        <v>3.22</v>
      </c>
      <c r="H843" s="12" t="s">
        <v>48</v>
      </c>
      <c r="I843" s="14" t="s">
        <v>39</v>
      </c>
    </row>
    <row r="844" spans="2:9">
      <c r="B844" s="48" t="s">
        <v>313</v>
      </c>
      <c r="C844" s="51">
        <v>3.9</v>
      </c>
      <c r="D844" s="10" t="s">
        <v>30</v>
      </c>
      <c r="E844" s="11" t="s">
        <v>5</v>
      </c>
      <c r="F844" s="12" t="s">
        <v>535</v>
      </c>
      <c r="G844" s="12">
        <v>3.22</v>
      </c>
      <c r="H844" s="12" t="s">
        <v>71</v>
      </c>
      <c r="I844" s="14" t="s">
        <v>5</v>
      </c>
    </row>
    <row r="845" spans="2:9">
      <c r="B845" s="48" t="s">
        <v>244</v>
      </c>
      <c r="C845" s="51">
        <v>3.15</v>
      </c>
      <c r="D845" s="10" t="s">
        <v>30</v>
      </c>
      <c r="E845" s="11" t="s">
        <v>5</v>
      </c>
      <c r="F845" s="12" t="s">
        <v>576</v>
      </c>
      <c r="G845" s="12">
        <v>3.22</v>
      </c>
      <c r="H845" s="12" t="s">
        <v>71</v>
      </c>
      <c r="I845" s="14" t="s">
        <v>5</v>
      </c>
    </row>
    <row r="846" spans="2:9">
      <c r="B846" s="48" t="s">
        <v>510</v>
      </c>
      <c r="C846" s="51">
        <v>3.68</v>
      </c>
      <c r="D846" s="10" t="s">
        <v>30</v>
      </c>
      <c r="E846" s="11" t="s">
        <v>5</v>
      </c>
      <c r="F846" s="12" t="s">
        <v>577</v>
      </c>
      <c r="G846" s="17">
        <v>3.22</v>
      </c>
      <c r="H846" s="12" t="s">
        <v>71</v>
      </c>
      <c r="I846" s="14" t="s">
        <v>5</v>
      </c>
    </row>
    <row r="847" spans="2:9">
      <c r="B847" s="21" t="s">
        <v>84</v>
      </c>
      <c r="C847" s="58">
        <v>4.37</v>
      </c>
      <c r="D847" s="10" t="s">
        <v>4</v>
      </c>
      <c r="E847" s="11" t="s">
        <v>5</v>
      </c>
      <c r="F847" s="12" t="s">
        <v>590</v>
      </c>
      <c r="G847" s="17">
        <v>3.22</v>
      </c>
      <c r="H847" s="12" t="s">
        <v>71</v>
      </c>
      <c r="I847" s="14" t="s">
        <v>5</v>
      </c>
    </row>
    <row r="848" spans="2:9" ht="15.75">
      <c r="B848" s="37" t="s">
        <v>648</v>
      </c>
      <c r="C848" s="51">
        <v>3.5</v>
      </c>
      <c r="D848" s="10" t="s">
        <v>58</v>
      </c>
      <c r="E848" s="11" t="s">
        <v>35</v>
      </c>
      <c r="F848" s="12" t="s">
        <v>595</v>
      </c>
      <c r="G848" s="12">
        <v>3.22</v>
      </c>
      <c r="H848" s="12" t="s">
        <v>71</v>
      </c>
      <c r="I848" s="14" t="s">
        <v>5</v>
      </c>
    </row>
    <row r="849" spans="2:9" ht="15.75">
      <c r="B849" s="37" t="s">
        <v>748</v>
      </c>
      <c r="C849" s="51">
        <v>3</v>
      </c>
      <c r="D849" s="10" t="s">
        <v>58</v>
      </c>
      <c r="E849" s="11" t="s">
        <v>5</v>
      </c>
      <c r="F849" s="12" t="s">
        <v>535</v>
      </c>
      <c r="G849" s="17">
        <v>3.22</v>
      </c>
      <c r="H849" s="12" t="s">
        <v>58</v>
      </c>
      <c r="I849" s="14" t="s">
        <v>5</v>
      </c>
    </row>
    <row r="850" spans="2:9" ht="15.75">
      <c r="B850" s="37" t="s">
        <v>721</v>
      </c>
      <c r="C850" s="51">
        <v>3.33</v>
      </c>
      <c r="D850" s="10" t="s">
        <v>58</v>
      </c>
      <c r="E850" s="11" t="s">
        <v>5</v>
      </c>
      <c r="F850" s="12" t="s">
        <v>576</v>
      </c>
      <c r="G850" s="17">
        <v>3.22</v>
      </c>
      <c r="H850" s="12" t="s">
        <v>58</v>
      </c>
      <c r="I850" s="14" t="s">
        <v>5</v>
      </c>
    </row>
    <row r="851" spans="2:9" ht="15.75">
      <c r="B851" s="37" t="s">
        <v>733</v>
      </c>
      <c r="C851" s="51">
        <v>3.28</v>
      </c>
      <c r="D851" s="10" t="s">
        <v>58</v>
      </c>
      <c r="E851" s="11" t="s">
        <v>5</v>
      </c>
      <c r="F851" s="12" t="s">
        <v>595</v>
      </c>
      <c r="G851" s="17">
        <v>3.22</v>
      </c>
      <c r="H851" s="12" t="s">
        <v>58</v>
      </c>
      <c r="I851" s="14" t="s">
        <v>5</v>
      </c>
    </row>
    <row r="852" spans="2:9">
      <c r="B852" s="48" t="s">
        <v>246</v>
      </c>
      <c r="C852" s="51">
        <v>3.68</v>
      </c>
      <c r="D852" s="10" t="s">
        <v>4</v>
      </c>
      <c r="E852" s="11" t="s">
        <v>5</v>
      </c>
      <c r="F852" s="12" t="s">
        <v>679</v>
      </c>
      <c r="G852" s="13">
        <v>3.22</v>
      </c>
      <c r="H852" s="12" t="s">
        <v>38</v>
      </c>
      <c r="I852" s="14" t="s">
        <v>5</v>
      </c>
    </row>
    <row r="853" spans="2:9">
      <c r="B853" s="48" t="s">
        <v>86</v>
      </c>
      <c r="C853" s="51">
        <v>4.37</v>
      </c>
      <c r="D853" s="10" t="s">
        <v>4</v>
      </c>
      <c r="E853" s="11" t="s">
        <v>5</v>
      </c>
      <c r="F853" s="12" t="s">
        <v>576</v>
      </c>
      <c r="G853" s="13">
        <v>3.22</v>
      </c>
      <c r="H853" s="12" t="s">
        <v>102</v>
      </c>
      <c r="I853" s="14" t="s">
        <v>5</v>
      </c>
    </row>
    <row r="854" spans="2:9">
      <c r="B854" s="48" t="s">
        <v>267</v>
      </c>
      <c r="C854" s="51">
        <v>4</v>
      </c>
      <c r="D854" s="10" t="s">
        <v>4</v>
      </c>
      <c r="E854" s="11" t="s">
        <v>39</v>
      </c>
      <c r="F854" s="12" t="s">
        <v>577</v>
      </c>
      <c r="G854" s="13">
        <v>3.22</v>
      </c>
      <c r="H854" s="12" t="s">
        <v>102</v>
      </c>
      <c r="I854" s="14" t="s">
        <v>5</v>
      </c>
    </row>
    <row r="855" spans="2:9">
      <c r="B855" s="48" t="s">
        <v>734</v>
      </c>
      <c r="C855" s="51">
        <v>3.28</v>
      </c>
      <c r="D855" s="10" t="s">
        <v>4</v>
      </c>
      <c r="E855" s="11" t="s">
        <v>5</v>
      </c>
      <c r="F855" s="12" t="s">
        <v>679</v>
      </c>
      <c r="G855" s="13">
        <v>3.22</v>
      </c>
      <c r="H855" s="12" t="s">
        <v>102</v>
      </c>
      <c r="I855" s="14" t="s">
        <v>5</v>
      </c>
    </row>
    <row r="856" spans="2:9">
      <c r="B856" s="48" t="s">
        <v>402</v>
      </c>
      <c r="C856" s="51">
        <v>3.84</v>
      </c>
      <c r="D856" s="10" t="s">
        <v>4</v>
      </c>
      <c r="E856" s="11" t="s">
        <v>5</v>
      </c>
      <c r="F856" s="12" t="s">
        <v>595</v>
      </c>
      <c r="G856" s="13">
        <v>3.22</v>
      </c>
      <c r="H856" s="12" t="s">
        <v>102</v>
      </c>
      <c r="I856" s="14" t="s">
        <v>5</v>
      </c>
    </row>
    <row r="857" spans="2:9">
      <c r="B857" s="48" t="s">
        <v>117</v>
      </c>
      <c r="C857" s="51">
        <v>4.29</v>
      </c>
      <c r="D857" s="10" t="s">
        <v>4</v>
      </c>
      <c r="E857" s="11" t="s">
        <v>35</v>
      </c>
      <c r="F857" s="12" t="s">
        <v>711</v>
      </c>
      <c r="G857" s="13">
        <v>3.22</v>
      </c>
      <c r="H857" s="12" t="s">
        <v>102</v>
      </c>
      <c r="I857" s="14" t="s">
        <v>39</v>
      </c>
    </row>
    <row r="858" spans="2:9">
      <c r="B858" s="48" t="s">
        <v>115</v>
      </c>
      <c r="C858" s="51">
        <v>4.3</v>
      </c>
      <c r="D858" s="10" t="s">
        <v>4</v>
      </c>
      <c r="E858" s="11" t="s">
        <v>39</v>
      </c>
      <c r="F858" s="12" t="s">
        <v>535</v>
      </c>
      <c r="G858" s="13">
        <v>3.22</v>
      </c>
      <c r="H858" s="12" t="s">
        <v>11</v>
      </c>
      <c r="I858" s="14" t="s">
        <v>5</v>
      </c>
    </row>
    <row r="859" spans="2:9">
      <c r="B859" s="48" t="s">
        <v>187</v>
      </c>
      <c r="C859" s="51">
        <v>4.12</v>
      </c>
      <c r="D859" s="10" t="s">
        <v>4</v>
      </c>
      <c r="E859" s="11" t="s">
        <v>39</v>
      </c>
      <c r="F859" s="12" t="s">
        <v>576</v>
      </c>
      <c r="G859" s="13">
        <v>3.22</v>
      </c>
      <c r="H859" s="12" t="s">
        <v>11</v>
      </c>
      <c r="I859" s="14" t="s">
        <v>39</v>
      </c>
    </row>
    <row r="860" spans="2:9">
      <c r="B860" s="48" t="s">
        <v>744</v>
      </c>
      <c r="C860" s="51">
        <v>3.26</v>
      </c>
      <c r="D860" s="10" t="s">
        <v>38</v>
      </c>
      <c r="E860" s="11" t="s">
        <v>5</v>
      </c>
      <c r="F860" s="12" t="s">
        <v>595</v>
      </c>
      <c r="G860" s="13">
        <v>3.22</v>
      </c>
      <c r="H860" s="12" t="s">
        <v>11</v>
      </c>
      <c r="I860" s="14" t="s">
        <v>5</v>
      </c>
    </row>
    <row r="861" spans="2:9">
      <c r="B861" s="48" t="s">
        <v>749</v>
      </c>
      <c r="C861" s="51">
        <v>3</v>
      </c>
      <c r="D861" s="10" t="s">
        <v>38</v>
      </c>
      <c r="E861" s="11" t="s">
        <v>5</v>
      </c>
      <c r="F861" s="12" t="s">
        <v>162</v>
      </c>
      <c r="G861" s="12">
        <v>3.21</v>
      </c>
      <c r="H861" s="12" t="s">
        <v>4</v>
      </c>
      <c r="I861" s="14" t="s">
        <v>5</v>
      </c>
    </row>
    <row r="862" spans="2:9">
      <c r="B862" s="48" t="s">
        <v>402</v>
      </c>
      <c r="C862" s="51">
        <v>3.84</v>
      </c>
      <c r="D862" s="10" t="s">
        <v>38</v>
      </c>
      <c r="E862" s="11" t="s">
        <v>5</v>
      </c>
      <c r="F862" s="12" t="s">
        <v>174</v>
      </c>
      <c r="G862" s="17">
        <v>3.21</v>
      </c>
      <c r="H862" s="12" t="s">
        <v>4</v>
      </c>
      <c r="I862" s="14" t="s">
        <v>5</v>
      </c>
    </row>
    <row r="863" spans="2:9">
      <c r="B863" s="48" t="s">
        <v>284</v>
      </c>
      <c r="C863" s="51">
        <v>3.95</v>
      </c>
      <c r="D863" s="10" t="s">
        <v>38</v>
      </c>
      <c r="E863" s="11" t="s">
        <v>5</v>
      </c>
      <c r="F863" s="12" t="s">
        <v>355</v>
      </c>
      <c r="G863" s="12">
        <v>3.21</v>
      </c>
      <c r="H863" s="12" t="s">
        <v>48</v>
      </c>
      <c r="I863" s="14" t="s">
        <v>5</v>
      </c>
    </row>
    <row r="864" spans="2:9">
      <c r="B864" s="48" t="s">
        <v>138</v>
      </c>
      <c r="C864" s="51">
        <v>4.25</v>
      </c>
      <c r="D864" s="10" t="s">
        <v>38</v>
      </c>
      <c r="E864" s="11" t="s">
        <v>5</v>
      </c>
      <c r="F864" s="12" t="s">
        <v>174</v>
      </c>
      <c r="G864" s="12">
        <v>3.21</v>
      </c>
      <c r="H864" s="12" t="s">
        <v>48</v>
      </c>
      <c r="I864" s="14" t="s">
        <v>35</v>
      </c>
    </row>
    <row r="865" spans="2:9">
      <c r="B865" s="48" t="s">
        <v>197</v>
      </c>
      <c r="C865" s="51">
        <v>4.1100000000000003</v>
      </c>
      <c r="D865" s="10" t="s">
        <v>71</v>
      </c>
      <c r="E865" s="11" t="s">
        <v>5</v>
      </c>
      <c r="F865" s="12" t="s">
        <v>469</v>
      </c>
      <c r="G865" s="12">
        <v>3.21</v>
      </c>
      <c r="H865" s="12" t="s">
        <v>71</v>
      </c>
      <c r="I865" s="14" t="s">
        <v>5</v>
      </c>
    </row>
    <row r="866" spans="2:9">
      <c r="B866" s="48" t="s">
        <v>750</v>
      </c>
      <c r="C866" s="51">
        <v>3.21</v>
      </c>
      <c r="D866" s="10" t="s">
        <v>71</v>
      </c>
      <c r="E866" s="11" t="s">
        <v>5</v>
      </c>
      <c r="F866" s="12" t="s">
        <v>495</v>
      </c>
      <c r="G866" s="17">
        <v>3.21</v>
      </c>
      <c r="H866" s="12" t="s">
        <v>71</v>
      </c>
      <c r="I866" s="14" t="s">
        <v>35</v>
      </c>
    </row>
    <row r="867" spans="2:9">
      <c r="B867" s="48" t="s">
        <v>751</v>
      </c>
      <c r="C867" s="51">
        <v>3.17</v>
      </c>
      <c r="D867" s="10" t="s">
        <v>71</v>
      </c>
      <c r="E867" s="11" t="s">
        <v>5</v>
      </c>
      <c r="F867" s="12" t="s">
        <v>527</v>
      </c>
      <c r="G867" s="12">
        <v>3.21</v>
      </c>
      <c r="H867" s="12" t="s">
        <v>71</v>
      </c>
      <c r="I867" s="14" t="s">
        <v>5</v>
      </c>
    </row>
    <row r="868" spans="2:9">
      <c r="B868" s="48" t="s">
        <v>664</v>
      </c>
      <c r="C868" s="51">
        <v>3.47</v>
      </c>
      <c r="D868" s="10" t="s">
        <v>71</v>
      </c>
      <c r="E868" s="11" t="s">
        <v>35</v>
      </c>
      <c r="F868" s="12" t="s">
        <v>545</v>
      </c>
      <c r="G868" s="12">
        <v>3.21</v>
      </c>
      <c r="H868" s="12" t="s">
        <v>71</v>
      </c>
      <c r="I868" s="14" t="s">
        <v>39</v>
      </c>
    </row>
    <row r="869" spans="2:9">
      <c r="B869" s="48" t="s">
        <v>721</v>
      </c>
      <c r="C869" s="51">
        <v>3.33</v>
      </c>
      <c r="D869" s="10" t="s">
        <v>71</v>
      </c>
      <c r="E869" s="11" t="s">
        <v>5</v>
      </c>
      <c r="F869" s="12" t="s">
        <v>572</v>
      </c>
      <c r="G869" s="12">
        <v>3.21</v>
      </c>
      <c r="H869" s="12" t="s">
        <v>71</v>
      </c>
      <c r="I869" s="14" t="s">
        <v>5</v>
      </c>
    </row>
    <row r="870" spans="2:9">
      <c r="B870" s="48" t="s">
        <v>752</v>
      </c>
      <c r="C870" s="51">
        <v>3.21</v>
      </c>
      <c r="D870" s="10" t="s">
        <v>71</v>
      </c>
      <c r="E870" s="11" t="s">
        <v>5</v>
      </c>
      <c r="F870" s="12" t="s">
        <v>527</v>
      </c>
      <c r="G870" s="17">
        <v>3.21</v>
      </c>
      <c r="H870" s="12" t="s">
        <v>58</v>
      </c>
      <c r="I870" s="14" t="s">
        <v>5</v>
      </c>
    </row>
    <row r="871" spans="2:9">
      <c r="B871" s="48" t="s">
        <v>708</v>
      </c>
      <c r="C871" s="51">
        <v>3.37</v>
      </c>
      <c r="D871" s="10" t="s">
        <v>71</v>
      </c>
      <c r="E871" s="11" t="s">
        <v>5</v>
      </c>
      <c r="F871" s="12" t="s">
        <v>572</v>
      </c>
      <c r="G871" s="17">
        <v>3.21</v>
      </c>
      <c r="H871" s="12" t="s">
        <v>58</v>
      </c>
      <c r="I871" s="14" t="s">
        <v>5</v>
      </c>
    </row>
    <row r="872" spans="2:9">
      <c r="B872" s="48" t="s">
        <v>747</v>
      </c>
      <c r="C872" s="51">
        <v>3.25</v>
      </c>
      <c r="D872" s="10" t="s">
        <v>71</v>
      </c>
      <c r="E872" s="11" t="s">
        <v>5</v>
      </c>
      <c r="F872" s="12" t="s">
        <v>527</v>
      </c>
      <c r="G872" s="17">
        <v>3.21</v>
      </c>
      <c r="H872" s="12" t="s">
        <v>38</v>
      </c>
      <c r="I872" s="14" t="s">
        <v>5</v>
      </c>
    </row>
    <row r="873" spans="2:9">
      <c r="B873" s="48" t="s">
        <v>753</v>
      </c>
      <c r="C873" s="51">
        <v>3.1</v>
      </c>
      <c r="D873" s="10" t="s">
        <v>71</v>
      </c>
      <c r="E873" s="11" t="s">
        <v>39</v>
      </c>
      <c r="F873" s="12" t="s">
        <v>667</v>
      </c>
      <c r="G873" s="17">
        <v>3.21</v>
      </c>
      <c r="H873" s="12" t="s">
        <v>38</v>
      </c>
      <c r="I873" s="14" t="s">
        <v>5</v>
      </c>
    </row>
    <row r="874" spans="2:9" ht="15.75">
      <c r="B874" s="35" t="s">
        <v>754</v>
      </c>
      <c r="C874" s="59">
        <v>3</v>
      </c>
      <c r="D874" s="10" t="s">
        <v>102</v>
      </c>
      <c r="E874" s="11" t="s">
        <v>5</v>
      </c>
      <c r="F874" s="12" t="s">
        <v>469</v>
      </c>
      <c r="G874" s="13">
        <v>3.21</v>
      </c>
      <c r="H874" s="12" t="s">
        <v>102</v>
      </c>
      <c r="I874" s="14" t="s">
        <v>5</v>
      </c>
    </row>
    <row r="875" spans="2:9">
      <c r="B875" s="48" t="s">
        <v>721</v>
      </c>
      <c r="C875" s="51">
        <v>3.33</v>
      </c>
      <c r="D875" s="10" t="s">
        <v>11</v>
      </c>
      <c r="E875" s="11" t="s">
        <v>5</v>
      </c>
      <c r="F875" s="12" t="s">
        <v>527</v>
      </c>
      <c r="G875" s="13">
        <v>3.21</v>
      </c>
      <c r="H875" s="12" t="s">
        <v>102</v>
      </c>
      <c r="I875" s="14" t="s">
        <v>5</v>
      </c>
    </row>
    <row r="876" spans="2:9">
      <c r="B876" s="48" t="s">
        <v>708</v>
      </c>
      <c r="C876" s="51">
        <v>3.37</v>
      </c>
      <c r="D876" s="10" t="s">
        <v>11</v>
      </c>
      <c r="E876" s="11" t="s">
        <v>5</v>
      </c>
      <c r="F876" s="12" t="s">
        <v>545</v>
      </c>
      <c r="G876" s="13">
        <v>3.21</v>
      </c>
      <c r="H876" s="12" t="s">
        <v>102</v>
      </c>
      <c r="I876" s="14" t="s">
        <v>5</v>
      </c>
    </row>
    <row r="877" spans="2:9">
      <c r="B877" s="48" t="s">
        <v>675</v>
      </c>
      <c r="C877" s="51">
        <v>3.44</v>
      </c>
      <c r="D877" s="10" t="s">
        <v>11</v>
      </c>
      <c r="E877" s="11" t="s">
        <v>39</v>
      </c>
      <c r="F877" s="12" t="s">
        <v>527</v>
      </c>
      <c r="G877" s="13">
        <v>3.21</v>
      </c>
      <c r="H877" s="12" t="s">
        <v>11</v>
      </c>
      <c r="I877" s="14" t="s">
        <v>5</v>
      </c>
    </row>
    <row r="878" spans="2:9">
      <c r="B878" s="48" t="s">
        <v>246</v>
      </c>
      <c r="C878" s="51">
        <v>3.68</v>
      </c>
      <c r="D878" s="10" t="s">
        <v>48</v>
      </c>
      <c r="E878" s="11" t="s">
        <v>5</v>
      </c>
      <c r="F878" s="12" t="s">
        <v>572</v>
      </c>
      <c r="G878" s="13">
        <v>3.21</v>
      </c>
      <c r="H878" s="12" t="s">
        <v>11</v>
      </c>
      <c r="I878" s="14" t="s">
        <v>5</v>
      </c>
    </row>
    <row r="879" spans="2:9">
      <c r="B879" s="48" t="s">
        <v>713</v>
      </c>
      <c r="C879" s="51">
        <v>3.36</v>
      </c>
      <c r="D879" s="10" t="s">
        <v>48</v>
      </c>
      <c r="E879" s="11" t="s">
        <v>5</v>
      </c>
      <c r="F879" s="12" t="s">
        <v>739</v>
      </c>
      <c r="G879" s="13">
        <v>3.21</v>
      </c>
      <c r="H879" s="12" t="s">
        <v>30</v>
      </c>
      <c r="I879" s="14" t="s">
        <v>5</v>
      </c>
    </row>
    <row r="880" spans="2:9">
      <c r="B880" s="48" t="s">
        <v>676</v>
      </c>
      <c r="C880" s="51">
        <v>3.44</v>
      </c>
      <c r="D880" s="10" t="s">
        <v>48</v>
      </c>
      <c r="E880" s="11" t="s">
        <v>5</v>
      </c>
      <c r="F880" s="12" t="s">
        <v>740</v>
      </c>
      <c r="G880" s="13">
        <v>3.21</v>
      </c>
      <c r="H880" s="12" t="s">
        <v>30</v>
      </c>
      <c r="I880" s="14" t="s">
        <v>5</v>
      </c>
    </row>
    <row r="881" spans="2:9">
      <c r="B881" s="48" t="s">
        <v>404</v>
      </c>
      <c r="C881" s="51">
        <v>3.84</v>
      </c>
      <c r="D881" s="10" t="s">
        <v>48</v>
      </c>
      <c r="E881" s="11" t="s">
        <v>5</v>
      </c>
      <c r="F881" s="12" t="s">
        <v>750</v>
      </c>
      <c r="G881" s="13">
        <v>3.21</v>
      </c>
      <c r="H881" s="12" t="s">
        <v>71</v>
      </c>
      <c r="I881" s="14" t="s">
        <v>5</v>
      </c>
    </row>
    <row r="882" spans="2:9">
      <c r="B882" s="48" t="s">
        <v>510</v>
      </c>
      <c r="C882" s="51">
        <v>3.68</v>
      </c>
      <c r="D882" s="10" t="s">
        <v>30</v>
      </c>
      <c r="E882" s="11" t="s">
        <v>5</v>
      </c>
      <c r="F882" s="12" t="s">
        <v>752</v>
      </c>
      <c r="G882" s="13">
        <v>3.21</v>
      </c>
      <c r="H882" s="12" t="s">
        <v>71</v>
      </c>
      <c r="I882" s="14" t="s">
        <v>5</v>
      </c>
    </row>
    <row r="883" spans="2:9">
      <c r="B883" s="48" t="s">
        <v>32</v>
      </c>
      <c r="C883" s="51">
        <v>4.8899999999999997</v>
      </c>
      <c r="D883" s="10" t="s">
        <v>30</v>
      </c>
      <c r="E883" s="11" t="s">
        <v>5</v>
      </c>
      <c r="F883" s="12" t="s">
        <v>755</v>
      </c>
      <c r="G883" s="13">
        <v>3.21</v>
      </c>
      <c r="H883" s="12" t="s">
        <v>102</v>
      </c>
      <c r="I883" s="14" t="s">
        <v>35</v>
      </c>
    </row>
    <row r="884" spans="2:9">
      <c r="B884" s="53" t="s">
        <v>677</v>
      </c>
      <c r="C884" s="60">
        <v>3.44</v>
      </c>
      <c r="D884" s="10" t="s">
        <v>30</v>
      </c>
      <c r="E884" s="11" t="s">
        <v>39</v>
      </c>
      <c r="F884" s="12" t="s">
        <v>387</v>
      </c>
      <c r="G884" s="12">
        <v>3.2</v>
      </c>
      <c r="H884" s="12" t="s">
        <v>48</v>
      </c>
      <c r="I884" s="14" t="s">
        <v>5</v>
      </c>
    </row>
    <row r="885" spans="2:9">
      <c r="B885" s="48" t="s">
        <v>581</v>
      </c>
      <c r="C885" s="51">
        <v>3.61</v>
      </c>
      <c r="D885" s="10" t="s">
        <v>58</v>
      </c>
      <c r="E885" s="11" t="s">
        <v>5</v>
      </c>
      <c r="F885" s="12" t="s">
        <v>490</v>
      </c>
      <c r="G885" s="12">
        <v>3.2</v>
      </c>
      <c r="H885" s="12" t="s">
        <v>71</v>
      </c>
      <c r="I885" s="14" t="s">
        <v>5</v>
      </c>
    </row>
    <row r="886" spans="2:9">
      <c r="B886" s="48" t="s">
        <v>211</v>
      </c>
      <c r="C886" s="51">
        <v>4.0599999999999996</v>
      </c>
      <c r="D886" s="10" t="s">
        <v>58</v>
      </c>
      <c r="E886" s="11" t="s">
        <v>5</v>
      </c>
      <c r="F886" s="12" t="s">
        <v>387</v>
      </c>
      <c r="G886" s="12">
        <v>3.2</v>
      </c>
      <c r="H886" s="12" t="s">
        <v>71</v>
      </c>
      <c r="I886" s="14" t="s">
        <v>5</v>
      </c>
    </row>
    <row r="887" spans="2:9">
      <c r="B887" s="48" t="s">
        <v>606</v>
      </c>
      <c r="C887" s="51">
        <v>3.58</v>
      </c>
      <c r="D887" s="10" t="s">
        <v>58</v>
      </c>
      <c r="E887" s="11" t="s">
        <v>5</v>
      </c>
      <c r="F887" s="12" t="s">
        <v>556</v>
      </c>
      <c r="G887" s="12">
        <v>3.2</v>
      </c>
      <c r="H887" s="12" t="s">
        <v>71</v>
      </c>
      <c r="I887" s="14" t="s">
        <v>5</v>
      </c>
    </row>
    <row r="888" spans="2:9">
      <c r="B888" s="48" t="s">
        <v>696</v>
      </c>
      <c r="C888" s="51">
        <v>3.4</v>
      </c>
      <c r="D888" s="10" t="s">
        <v>58</v>
      </c>
      <c r="E888" s="11" t="s">
        <v>5</v>
      </c>
      <c r="F888" s="12" t="s">
        <v>253</v>
      </c>
      <c r="G888" s="12">
        <v>3.2</v>
      </c>
      <c r="H888" s="12" t="s">
        <v>58</v>
      </c>
      <c r="I888" s="14" t="s">
        <v>5</v>
      </c>
    </row>
    <row r="889" spans="2:9">
      <c r="B889" s="48" t="s">
        <v>690</v>
      </c>
      <c r="C889" s="51">
        <v>3.42</v>
      </c>
      <c r="D889" s="10" t="s">
        <v>58</v>
      </c>
      <c r="E889" s="11" t="s">
        <v>5</v>
      </c>
      <c r="F889" s="12" t="s">
        <v>253</v>
      </c>
      <c r="G889" s="12">
        <v>3.2</v>
      </c>
      <c r="H889" s="12" t="s">
        <v>58</v>
      </c>
      <c r="I889" s="14" t="s">
        <v>5</v>
      </c>
    </row>
    <row r="890" spans="2:9">
      <c r="B890" s="48" t="s">
        <v>243</v>
      </c>
      <c r="C890" s="51">
        <v>4.05</v>
      </c>
      <c r="D890" s="10" t="s">
        <v>4</v>
      </c>
      <c r="E890" s="11" t="s">
        <v>5</v>
      </c>
      <c r="F890" s="12" t="s">
        <v>490</v>
      </c>
      <c r="G890" s="12">
        <v>3.2</v>
      </c>
      <c r="H890" s="12" t="s">
        <v>58</v>
      </c>
      <c r="I890" s="14" t="s">
        <v>35</v>
      </c>
    </row>
    <row r="891" spans="2:9">
      <c r="B891" s="48" t="s">
        <v>503</v>
      </c>
      <c r="C891" s="51">
        <v>3.7</v>
      </c>
      <c r="D891" s="10" t="s">
        <v>4</v>
      </c>
      <c r="E891" s="11" t="s">
        <v>5</v>
      </c>
      <c r="F891" s="12" t="s">
        <v>490</v>
      </c>
      <c r="G891" s="12">
        <v>3.2</v>
      </c>
      <c r="H891" s="12" t="s">
        <v>102</v>
      </c>
      <c r="I891" s="14" t="s">
        <v>5</v>
      </c>
    </row>
    <row r="892" spans="2:9">
      <c r="B892" s="48" t="s">
        <v>118</v>
      </c>
      <c r="C892" s="51">
        <v>4.28</v>
      </c>
      <c r="D892" s="10" t="s">
        <v>4</v>
      </c>
      <c r="E892" s="11" t="s">
        <v>5</v>
      </c>
      <c r="F892" s="12" t="s">
        <v>556</v>
      </c>
      <c r="G892" s="13">
        <v>3.2</v>
      </c>
      <c r="H892" s="12" t="s">
        <v>102</v>
      </c>
      <c r="I892" s="14" t="s">
        <v>5</v>
      </c>
    </row>
    <row r="893" spans="2:9">
      <c r="B893" s="48" t="s">
        <v>745</v>
      </c>
      <c r="C893" s="51">
        <v>3.26</v>
      </c>
      <c r="D893" s="10" t="s">
        <v>4</v>
      </c>
      <c r="E893" s="11" t="s">
        <v>5</v>
      </c>
      <c r="F893" s="12" t="s">
        <v>714</v>
      </c>
      <c r="G893" s="13">
        <v>3.2</v>
      </c>
      <c r="H893" s="12" t="s">
        <v>11</v>
      </c>
      <c r="I893" s="14" t="s">
        <v>5</v>
      </c>
    </row>
    <row r="894" spans="2:9">
      <c r="B894" s="48" t="s">
        <v>722</v>
      </c>
      <c r="C894" s="51">
        <v>3.33</v>
      </c>
      <c r="D894" s="10" t="s">
        <v>4</v>
      </c>
      <c r="E894" s="11" t="s">
        <v>35</v>
      </c>
      <c r="F894" s="12" t="s">
        <v>387</v>
      </c>
      <c r="G894" s="12">
        <v>3.2</v>
      </c>
      <c r="H894" s="12" t="s">
        <v>11</v>
      </c>
      <c r="I894" s="14" t="s">
        <v>5</v>
      </c>
    </row>
    <row r="895" spans="2:9">
      <c r="B895" s="48" t="s">
        <v>360</v>
      </c>
      <c r="C895" s="51">
        <v>3.88</v>
      </c>
      <c r="D895" s="10" t="s">
        <v>4</v>
      </c>
      <c r="E895" s="11" t="s">
        <v>5</v>
      </c>
      <c r="F895" s="12" t="s">
        <v>556</v>
      </c>
      <c r="G895" s="13">
        <v>3.2</v>
      </c>
      <c r="H895" s="12" t="s">
        <v>11</v>
      </c>
      <c r="I895" s="14" t="s">
        <v>5</v>
      </c>
    </row>
    <row r="896" spans="2:9">
      <c r="B896" s="48" t="s">
        <v>520</v>
      </c>
      <c r="C896" s="51">
        <v>3.67</v>
      </c>
      <c r="D896" s="10" t="s">
        <v>4</v>
      </c>
      <c r="E896" s="11" t="s">
        <v>5</v>
      </c>
      <c r="F896" s="12" t="s">
        <v>756</v>
      </c>
      <c r="G896" s="12">
        <v>3.2</v>
      </c>
      <c r="H896" s="12" t="s">
        <v>102</v>
      </c>
      <c r="I896" s="14" t="s">
        <v>35</v>
      </c>
    </row>
    <row r="897" spans="2:9">
      <c r="B897" s="48" t="s">
        <v>406</v>
      </c>
      <c r="C897" s="51">
        <v>3.84</v>
      </c>
      <c r="D897" s="10" t="s">
        <v>38</v>
      </c>
      <c r="E897" s="11" t="s">
        <v>5</v>
      </c>
      <c r="F897" s="12" t="s">
        <v>757</v>
      </c>
      <c r="G897" s="12">
        <v>3.2</v>
      </c>
      <c r="H897" s="12" t="s">
        <v>102</v>
      </c>
      <c r="I897" s="14" t="s">
        <v>5</v>
      </c>
    </row>
    <row r="898" spans="2:9">
      <c r="B898" s="48" t="s">
        <v>585</v>
      </c>
      <c r="C898" s="51">
        <v>3.59</v>
      </c>
      <c r="D898" s="10" t="s">
        <v>38</v>
      </c>
      <c r="E898" s="11" t="s">
        <v>5</v>
      </c>
      <c r="F898" s="12" t="s">
        <v>248</v>
      </c>
      <c r="G898" s="12">
        <v>3.19</v>
      </c>
      <c r="H898" s="12" t="s">
        <v>48</v>
      </c>
      <c r="I898" s="14" t="s">
        <v>5</v>
      </c>
    </row>
    <row r="899" spans="2:9">
      <c r="B899" s="48" t="s">
        <v>118</v>
      </c>
      <c r="C899" s="51">
        <v>4.28</v>
      </c>
      <c r="D899" s="10" t="s">
        <v>38</v>
      </c>
      <c r="E899" s="11" t="s">
        <v>5</v>
      </c>
      <c r="F899" s="12" t="s">
        <v>248</v>
      </c>
      <c r="G899" s="17">
        <v>3.19</v>
      </c>
      <c r="H899" s="12" t="s">
        <v>38</v>
      </c>
      <c r="I899" s="14" t="s">
        <v>5</v>
      </c>
    </row>
    <row r="900" spans="2:9">
      <c r="B900" s="48" t="s">
        <v>722</v>
      </c>
      <c r="C900" s="51">
        <v>3.33</v>
      </c>
      <c r="D900" s="10" t="s">
        <v>38</v>
      </c>
      <c r="E900" s="11" t="s">
        <v>35</v>
      </c>
      <c r="F900" s="12" t="s">
        <v>728</v>
      </c>
      <c r="G900" s="13">
        <v>3.19</v>
      </c>
      <c r="H900" s="12" t="s">
        <v>30</v>
      </c>
      <c r="I900" s="14" t="s">
        <v>35</v>
      </c>
    </row>
    <row r="901" spans="2:9">
      <c r="B901" s="48" t="s">
        <v>65</v>
      </c>
      <c r="C901" s="51">
        <v>4.53</v>
      </c>
      <c r="D901" s="10" t="s">
        <v>38</v>
      </c>
      <c r="E901" s="11" t="s">
        <v>5</v>
      </c>
      <c r="F901" s="12" t="s">
        <v>391</v>
      </c>
      <c r="G901" s="12">
        <v>3.17</v>
      </c>
      <c r="H901" s="12" t="s">
        <v>48</v>
      </c>
      <c r="I901" s="14" t="s">
        <v>5</v>
      </c>
    </row>
    <row r="902" spans="2:9">
      <c r="B902" s="48" t="s">
        <v>650</v>
      </c>
      <c r="C902" s="51">
        <v>3.5</v>
      </c>
      <c r="D902" s="10" t="s">
        <v>71</v>
      </c>
      <c r="E902" s="11" t="s">
        <v>39</v>
      </c>
      <c r="F902" s="12" t="s">
        <v>547</v>
      </c>
      <c r="G902" s="12">
        <v>3.17</v>
      </c>
      <c r="H902" s="12" t="s">
        <v>71</v>
      </c>
      <c r="I902" s="14" t="s">
        <v>5</v>
      </c>
    </row>
    <row r="903" spans="2:9">
      <c r="B903" s="48" t="s">
        <v>504</v>
      </c>
      <c r="C903" s="51">
        <v>3.7</v>
      </c>
      <c r="D903" s="10" t="s">
        <v>71</v>
      </c>
      <c r="E903" s="11" t="s">
        <v>5</v>
      </c>
      <c r="F903" s="12" t="s">
        <v>537</v>
      </c>
      <c r="G903" s="12">
        <v>3.17</v>
      </c>
      <c r="H903" s="12" t="s">
        <v>71</v>
      </c>
      <c r="I903" s="14" t="s">
        <v>5</v>
      </c>
    </row>
    <row r="904" spans="2:9">
      <c r="B904" s="48" t="s">
        <v>581</v>
      </c>
      <c r="C904" s="51">
        <v>3.61</v>
      </c>
      <c r="D904" s="10" t="s">
        <v>71</v>
      </c>
      <c r="E904" s="11" t="s">
        <v>5</v>
      </c>
      <c r="F904" s="12" t="s">
        <v>615</v>
      </c>
      <c r="G904" s="12">
        <v>3.17</v>
      </c>
      <c r="H904" s="12" t="s">
        <v>58</v>
      </c>
      <c r="I904" s="14" t="s">
        <v>35</v>
      </c>
    </row>
    <row r="905" spans="2:9">
      <c r="B905" s="48" t="s">
        <v>629</v>
      </c>
      <c r="C905" s="51">
        <v>3.53</v>
      </c>
      <c r="D905" s="10" t="s">
        <v>71</v>
      </c>
      <c r="E905" s="11" t="s">
        <v>5</v>
      </c>
      <c r="F905" s="12" t="s">
        <v>547</v>
      </c>
      <c r="G905" s="13">
        <v>3.17</v>
      </c>
      <c r="H905" s="12" t="s">
        <v>102</v>
      </c>
      <c r="I905" s="14" t="s">
        <v>5</v>
      </c>
    </row>
    <row r="906" spans="2:9">
      <c r="B906" s="48" t="s">
        <v>470</v>
      </c>
      <c r="C906" s="51">
        <v>3.76</v>
      </c>
      <c r="D906" s="10" t="s">
        <v>71</v>
      </c>
      <c r="E906" s="11" t="s">
        <v>5</v>
      </c>
      <c r="F906" s="12" t="s">
        <v>547</v>
      </c>
      <c r="G906" s="13">
        <v>3.17</v>
      </c>
      <c r="H906" s="12" t="s">
        <v>11</v>
      </c>
      <c r="I906" s="14" t="s">
        <v>5</v>
      </c>
    </row>
    <row r="907" spans="2:9">
      <c r="B907" s="48" t="s">
        <v>652</v>
      </c>
      <c r="C907" s="51">
        <v>3.5</v>
      </c>
      <c r="D907" s="10" t="s">
        <v>71</v>
      </c>
      <c r="E907" s="11" t="s">
        <v>5</v>
      </c>
      <c r="F907" s="12" t="s">
        <v>751</v>
      </c>
      <c r="G907" s="13">
        <v>3.17</v>
      </c>
      <c r="H907" s="12" t="s">
        <v>71</v>
      </c>
      <c r="I907" s="14" t="s">
        <v>5</v>
      </c>
    </row>
    <row r="908" spans="2:9">
      <c r="B908" s="48" t="s">
        <v>513</v>
      </c>
      <c r="C908" s="51">
        <v>3.68</v>
      </c>
      <c r="D908" s="10" t="s">
        <v>71</v>
      </c>
      <c r="E908" s="11" t="s">
        <v>5</v>
      </c>
      <c r="F908" s="12" t="s">
        <v>280</v>
      </c>
      <c r="G908" s="17">
        <v>3.16</v>
      </c>
      <c r="H908" s="12" t="s">
        <v>48</v>
      </c>
      <c r="I908" s="14" t="s">
        <v>5</v>
      </c>
    </row>
    <row r="909" spans="2:9">
      <c r="B909" s="48" t="s">
        <v>363</v>
      </c>
      <c r="C909" s="51">
        <v>3.87</v>
      </c>
      <c r="D909" s="10" t="s">
        <v>71</v>
      </c>
      <c r="E909" s="11" t="s">
        <v>39</v>
      </c>
      <c r="F909" s="12" t="s">
        <v>318</v>
      </c>
      <c r="G909" s="17">
        <v>3.16</v>
      </c>
      <c r="H909" s="12" t="s">
        <v>48</v>
      </c>
      <c r="I909" s="14" t="s">
        <v>5</v>
      </c>
    </row>
    <row r="910" spans="2:9">
      <c r="B910" s="48" t="s">
        <v>504</v>
      </c>
      <c r="C910" s="51">
        <v>3.7</v>
      </c>
      <c r="D910" s="10" t="s">
        <v>102</v>
      </c>
      <c r="E910" s="11" t="s">
        <v>5</v>
      </c>
      <c r="F910" s="12" t="s">
        <v>365</v>
      </c>
      <c r="G910" s="12">
        <v>3.16</v>
      </c>
      <c r="H910" s="12" t="s">
        <v>48</v>
      </c>
      <c r="I910" s="14" t="s">
        <v>5</v>
      </c>
    </row>
    <row r="911" spans="2:9">
      <c r="B911" s="48" t="s">
        <v>678</v>
      </c>
      <c r="C911" s="51">
        <v>3.44</v>
      </c>
      <c r="D911" s="10" t="s">
        <v>102</v>
      </c>
      <c r="E911" s="11" t="s">
        <v>35</v>
      </c>
      <c r="F911" s="12" t="s">
        <v>405</v>
      </c>
      <c r="G911" s="12">
        <v>3.16</v>
      </c>
      <c r="H911" s="12" t="s">
        <v>48</v>
      </c>
      <c r="I911" s="14" t="s">
        <v>5</v>
      </c>
    </row>
    <row r="912" spans="2:9">
      <c r="B912" s="48" t="s">
        <v>339</v>
      </c>
      <c r="C912" s="51">
        <v>3.89</v>
      </c>
      <c r="D912" s="10" t="s">
        <v>102</v>
      </c>
      <c r="E912" s="11" t="s">
        <v>5</v>
      </c>
      <c r="F912" s="12" t="s">
        <v>461</v>
      </c>
      <c r="G912" s="12">
        <v>3.16</v>
      </c>
      <c r="H912" s="12" t="s">
        <v>71</v>
      </c>
      <c r="I912" s="14" t="s">
        <v>5</v>
      </c>
    </row>
    <row r="913" spans="2:9">
      <c r="B913" s="48" t="s">
        <v>758</v>
      </c>
      <c r="C913" s="51">
        <v>3.05</v>
      </c>
      <c r="D913" s="10" t="s">
        <v>102</v>
      </c>
      <c r="E913" s="11" t="s">
        <v>5</v>
      </c>
      <c r="F913" s="12" t="s">
        <v>280</v>
      </c>
      <c r="G913" s="12">
        <v>3.16</v>
      </c>
      <c r="H913" s="12" t="s">
        <v>71</v>
      </c>
      <c r="I913" s="14" t="s">
        <v>5</v>
      </c>
    </row>
    <row r="914" spans="2:9">
      <c r="B914" s="48" t="s">
        <v>726</v>
      </c>
      <c r="C914" s="51">
        <v>3.32</v>
      </c>
      <c r="D914" s="10" t="s">
        <v>102</v>
      </c>
      <c r="E914" s="11" t="s">
        <v>35</v>
      </c>
      <c r="F914" s="12" t="s">
        <v>475</v>
      </c>
      <c r="G914" s="12">
        <v>3.16</v>
      </c>
      <c r="H914" s="12" t="s">
        <v>71</v>
      </c>
      <c r="I914" s="14" t="s">
        <v>5</v>
      </c>
    </row>
    <row r="915" spans="2:9">
      <c r="B915" s="48" t="s">
        <v>675</v>
      </c>
      <c r="C915" s="51">
        <v>3.4</v>
      </c>
      <c r="D915" s="10" t="s">
        <v>102</v>
      </c>
      <c r="E915" s="11" t="s">
        <v>5</v>
      </c>
      <c r="F915" s="12" t="s">
        <v>488</v>
      </c>
      <c r="G915" s="12">
        <v>3.16</v>
      </c>
      <c r="H915" s="12" t="s">
        <v>71</v>
      </c>
      <c r="I915" s="14" t="s">
        <v>39</v>
      </c>
    </row>
    <row r="916" spans="2:9">
      <c r="B916" s="48" t="s">
        <v>727</v>
      </c>
      <c r="C916" s="51">
        <v>3.31</v>
      </c>
      <c r="D916" s="10" t="s">
        <v>102</v>
      </c>
      <c r="E916" s="11" t="s">
        <v>5</v>
      </c>
      <c r="F916" s="12" t="s">
        <v>500</v>
      </c>
      <c r="G916" s="12">
        <v>3.16</v>
      </c>
      <c r="H916" s="12" t="s">
        <v>71</v>
      </c>
      <c r="I916" s="14" t="s">
        <v>5</v>
      </c>
    </row>
    <row r="917" spans="2:9">
      <c r="B917" s="48" t="s">
        <v>691</v>
      </c>
      <c r="C917" s="51">
        <v>3.42</v>
      </c>
      <c r="D917" s="10" t="s">
        <v>102</v>
      </c>
      <c r="E917" s="11" t="s">
        <v>5</v>
      </c>
      <c r="F917" s="12" t="s">
        <v>365</v>
      </c>
      <c r="G917" s="12">
        <v>3.16</v>
      </c>
      <c r="H917" s="12" t="s">
        <v>71</v>
      </c>
      <c r="I917" s="14" t="s">
        <v>5</v>
      </c>
    </row>
    <row r="918" spans="2:9">
      <c r="B918" s="50" t="s">
        <v>759</v>
      </c>
      <c r="C918" s="51">
        <v>3.16</v>
      </c>
      <c r="D918" s="10" t="s">
        <v>102</v>
      </c>
      <c r="E918" s="11" t="s">
        <v>39</v>
      </c>
      <c r="F918" s="12" t="s">
        <v>548</v>
      </c>
      <c r="G918" s="12">
        <v>3.16</v>
      </c>
      <c r="H918" s="12" t="s">
        <v>71</v>
      </c>
      <c r="I918" s="14" t="s">
        <v>5</v>
      </c>
    </row>
    <row r="919" spans="2:9">
      <c r="B919" s="48" t="s">
        <v>650</v>
      </c>
      <c r="C919" s="51">
        <v>3.5</v>
      </c>
      <c r="D919" s="10" t="s">
        <v>11</v>
      </c>
      <c r="E919" s="11" t="s">
        <v>5</v>
      </c>
      <c r="F919" s="12" t="s">
        <v>461</v>
      </c>
      <c r="G919" s="17">
        <v>3.16</v>
      </c>
      <c r="H919" s="12" t="s">
        <v>58</v>
      </c>
      <c r="I919" s="14" t="s">
        <v>5</v>
      </c>
    </row>
    <row r="920" spans="2:9">
      <c r="B920" s="48" t="s">
        <v>503</v>
      </c>
      <c r="C920" s="51">
        <v>3.7</v>
      </c>
      <c r="D920" s="10" t="s">
        <v>11</v>
      </c>
      <c r="E920" s="11" t="s">
        <v>5</v>
      </c>
      <c r="F920" s="12" t="s">
        <v>280</v>
      </c>
      <c r="G920" s="17">
        <v>3.16</v>
      </c>
      <c r="H920" s="12" t="s">
        <v>58</v>
      </c>
      <c r="I920" s="14" t="s">
        <v>5</v>
      </c>
    </row>
    <row r="921" spans="2:9">
      <c r="B921" s="48" t="s">
        <v>760</v>
      </c>
      <c r="C921" s="51">
        <v>3</v>
      </c>
      <c r="D921" s="10" t="s">
        <v>11</v>
      </c>
      <c r="E921" s="11" t="s">
        <v>35</v>
      </c>
      <c r="F921" s="12" t="s">
        <v>610</v>
      </c>
      <c r="G921" s="12">
        <v>3.16</v>
      </c>
      <c r="H921" s="12" t="s">
        <v>58</v>
      </c>
      <c r="I921" s="14" t="s">
        <v>5</v>
      </c>
    </row>
    <row r="922" spans="2:9">
      <c r="B922" s="48" t="s">
        <v>453</v>
      </c>
      <c r="C922" s="51">
        <v>3.78</v>
      </c>
      <c r="D922" s="10" t="s">
        <v>11</v>
      </c>
      <c r="E922" s="11" t="s">
        <v>35</v>
      </c>
      <c r="F922" s="12" t="s">
        <v>280</v>
      </c>
      <c r="G922" s="17">
        <v>3.16</v>
      </c>
      <c r="H922" s="12" t="s">
        <v>58</v>
      </c>
      <c r="I922" s="14" t="s">
        <v>5</v>
      </c>
    </row>
    <row r="923" spans="2:9">
      <c r="B923" s="48" t="s">
        <v>690</v>
      </c>
      <c r="C923" s="51">
        <v>3.42</v>
      </c>
      <c r="D923" s="10" t="s">
        <v>11</v>
      </c>
      <c r="E923" s="11" t="s">
        <v>5</v>
      </c>
      <c r="F923" s="12" t="s">
        <v>461</v>
      </c>
      <c r="G923" s="13">
        <v>3.16</v>
      </c>
      <c r="H923" s="12" t="s">
        <v>102</v>
      </c>
      <c r="I923" s="14" t="s">
        <v>5</v>
      </c>
    </row>
    <row r="924" spans="2:9">
      <c r="B924" s="50" t="s">
        <v>761</v>
      </c>
      <c r="C924" s="51">
        <v>3.16</v>
      </c>
      <c r="D924" s="10" t="s">
        <v>11</v>
      </c>
      <c r="E924" s="11" t="s">
        <v>5</v>
      </c>
      <c r="F924" s="12" t="s">
        <v>475</v>
      </c>
      <c r="G924" s="13">
        <v>3.16</v>
      </c>
      <c r="H924" s="12" t="s">
        <v>11</v>
      </c>
      <c r="I924" s="14" t="s">
        <v>5</v>
      </c>
    </row>
    <row r="925" spans="2:9">
      <c r="B925" s="48" t="s">
        <v>245</v>
      </c>
      <c r="C925" s="51">
        <v>4.05</v>
      </c>
      <c r="D925" s="10" t="s">
        <v>48</v>
      </c>
      <c r="E925" s="11" t="s">
        <v>5</v>
      </c>
      <c r="F925" s="12" t="s">
        <v>500</v>
      </c>
      <c r="G925" s="13">
        <v>3.16</v>
      </c>
      <c r="H925" s="12" t="s">
        <v>11</v>
      </c>
      <c r="I925" s="14" t="s">
        <v>39</v>
      </c>
    </row>
    <row r="926" spans="2:9">
      <c r="B926" s="48" t="s">
        <v>585</v>
      </c>
      <c r="C926" s="51">
        <v>3.59</v>
      </c>
      <c r="D926" s="10" t="s">
        <v>48</v>
      </c>
      <c r="E926" s="11" t="s">
        <v>5</v>
      </c>
      <c r="F926" s="12" t="s">
        <v>720</v>
      </c>
      <c r="G926" s="13">
        <v>3.16</v>
      </c>
      <c r="H926" s="12" t="s">
        <v>11</v>
      </c>
      <c r="I926" s="14" t="s">
        <v>5</v>
      </c>
    </row>
    <row r="927" spans="2:9">
      <c r="B927" s="48" t="s">
        <v>315</v>
      </c>
      <c r="C927" s="51">
        <v>3.9</v>
      </c>
      <c r="D927" s="10" t="s">
        <v>48</v>
      </c>
      <c r="E927" s="11" t="s">
        <v>5</v>
      </c>
      <c r="F927" s="12" t="s">
        <v>759</v>
      </c>
      <c r="G927" s="13">
        <v>3.16</v>
      </c>
      <c r="H927" s="12" t="s">
        <v>102</v>
      </c>
      <c r="I927" s="14" t="s">
        <v>39</v>
      </c>
    </row>
    <row r="928" spans="2:9">
      <c r="B928" s="48" t="s">
        <v>585</v>
      </c>
      <c r="C928" s="51">
        <v>3.59</v>
      </c>
      <c r="D928" s="10" t="s">
        <v>30</v>
      </c>
      <c r="E928" s="11" t="s">
        <v>5</v>
      </c>
      <c r="F928" s="12" t="s">
        <v>761</v>
      </c>
      <c r="G928" s="13">
        <v>3.16</v>
      </c>
      <c r="H928" s="12" t="s">
        <v>11</v>
      </c>
      <c r="I928" s="14" t="s">
        <v>5</v>
      </c>
    </row>
    <row r="929" spans="2:9">
      <c r="B929" s="48" t="s">
        <v>633</v>
      </c>
      <c r="C929" s="51">
        <v>3.52</v>
      </c>
      <c r="D929" s="10" t="s">
        <v>30</v>
      </c>
      <c r="E929" s="11" t="s">
        <v>5</v>
      </c>
      <c r="F929" s="12" t="s">
        <v>244</v>
      </c>
      <c r="G929" s="12">
        <v>3.15</v>
      </c>
      <c r="H929" s="12" t="s">
        <v>4</v>
      </c>
      <c r="I929" s="14" t="s">
        <v>5</v>
      </c>
    </row>
    <row r="930" spans="2:9">
      <c r="B930" s="48" t="s">
        <v>718</v>
      </c>
      <c r="C930" s="51">
        <v>3.34</v>
      </c>
      <c r="D930" s="10" t="s">
        <v>30</v>
      </c>
      <c r="E930" s="11" t="s">
        <v>5</v>
      </c>
      <c r="F930" s="12" t="s">
        <v>444</v>
      </c>
      <c r="G930" s="12">
        <v>3.15</v>
      </c>
      <c r="H930" s="12" t="s">
        <v>48</v>
      </c>
      <c r="I930" s="14" t="s">
        <v>5</v>
      </c>
    </row>
    <row r="931" spans="2:9">
      <c r="B931" s="48" t="s">
        <v>581</v>
      </c>
      <c r="C931" s="51">
        <v>3.61</v>
      </c>
      <c r="D931" s="10" t="s">
        <v>38</v>
      </c>
      <c r="E931" s="11" t="s">
        <v>5</v>
      </c>
      <c r="F931" s="12" t="s">
        <v>512</v>
      </c>
      <c r="G931" s="12">
        <v>3.15</v>
      </c>
      <c r="H931" s="12" t="s">
        <v>71</v>
      </c>
      <c r="I931" s="14" t="s">
        <v>5</v>
      </c>
    </row>
    <row r="932" spans="2:9">
      <c r="B932" s="48" t="s">
        <v>630</v>
      </c>
      <c r="C932" s="51">
        <v>3.53</v>
      </c>
      <c r="D932" s="10" t="s">
        <v>38</v>
      </c>
      <c r="E932" s="11" t="s">
        <v>35</v>
      </c>
      <c r="F932" s="12" t="s">
        <v>537</v>
      </c>
      <c r="G932" s="17">
        <v>3.15</v>
      </c>
      <c r="H932" s="12" t="s">
        <v>71</v>
      </c>
      <c r="I932" s="14" t="s">
        <v>5</v>
      </c>
    </row>
    <row r="933" spans="2:9">
      <c r="B933" s="48" t="s">
        <v>758</v>
      </c>
      <c r="C933" s="52">
        <v>3.05</v>
      </c>
      <c r="D933" s="10" t="s">
        <v>71</v>
      </c>
      <c r="E933" s="11" t="s">
        <v>5</v>
      </c>
      <c r="F933" s="12" t="s">
        <v>605</v>
      </c>
      <c r="G933" s="12">
        <v>3.15</v>
      </c>
      <c r="H933" s="12" t="s">
        <v>71</v>
      </c>
      <c r="I933" s="14" t="s">
        <v>5</v>
      </c>
    </row>
    <row r="934" spans="2:9">
      <c r="B934" s="48" t="s">
        <v>418</v>
      </c>
      <c r="C934" s="51">
        <v>3.83</v>
      </c>
      <c r="D934" s="10" t="s">
        <v>71</v>
      </c>
      <c r="E934" s="11" t="s">
        <v>35</v>
      </c>
      <c r="F934" s="12" t="s">
        <v>512</v>
      </c>
      <c r="G934" s="17">
        <v>3.15</v>
      </c>
      <c r="H934" s="12" t="s">
        <v>58</v>
      </c>
      <c r="I934" s="14" t="s">
        <v>5</v>
      </c>
    </row>
    <row r="935" spans="2:9">
      <c r="B935" s="48" t="s">
        <v>408</v>
      </c>
      <c r="C935" s="51">
        <v>3.84</v>
      </c>
      <c r="D935" s="10" t="s">
        <v>71</v>
      </c>
      <c r="E935" s="11" t="s">
        <v>35</v>
      </c>
      <c r="F935" s="12" t="s">
        <v>605</v>
      </c>
      <c r="G935" s="17">
        <v>3.15</v>
      </c>
      <c r="H935" s="12" t="s">
        <v>58</v>
      </c>
      <c r="I935" s="14" t="s">
        <v>5</v>
      </c>
    </row>
    <row r="936" spans="2:9">
      <c r="B936" s="48" t="s">
        <v>522</v>
      </c>
      <c r="C936" s="51">
        <v>3.67</v>
      </c>
      <c r="D936" s="10" t="s">
        <v>71</v>
      </c>
      <c r="E936" s="11" t="s">
        <v>35</v>
      </c>
      <c r="F936" s="12" t="s">
        <v>605</v>
      </c>
      <c r="G936" s="13">
        <v>3.15</v>
      </c>
      <c r="H936" s="12" t="s">
        <v>38</v>
      </c>
      <c r="I936" s="14" t="s">
        <v>5</v>
      </c>
    </row>
    <row r="937" spans="2:9">
      <c r="B937" s="48" t="s">
        <v>697</v>
      </c>
      <c r="C937" s="52">
        <v>3.4</v>
      </c>
      <c r="D937" s="10" t="s">
        <v>102</v>
      </c>
      <c r="E937" s="11" t="s">
        <v>35</v>
      </c>
      <c r="F937" s="12" t="s">
        <v>512</v>
      </c>
      <c r="G937" s="13">
        <v>3.15</v>
      </c>
      <c r="H937" s="12" t="s">
        <v>102</v>
      </c>
      <c r="I937" s="14" t="s">
        <v>5</v>
      </c>
    </row>
    <row r="938" spans="2:9">
      <c r="B938" s="48" t="s">
        <v>654</v>
      </c>
      <c r="C938" s="51">
        <v>3.5</v>
      </c>
      <c r="D938" s="10" t="s">
        <v>102</v>
      </c>
      <c r="E938" s="11" t="s">
        <v>35</v>
      </c>
      <c r="F938" s="12" t="s">
        <v>605</v>
      </c>
      <c r="G938" s="13">
        <v>3.15</v>
      </c>
      <c r="H938" s="12" t="s">
        <v>102</v>
      </c>
      <c r="I938" s="14" t="s">
        <v>5</v>
      </c>
    </row>
    <row r="939" spans="2:9">
      <c r="B939" s="48" t="s">
        <v>680</v>
      </c>
      <c r="C939" s="51">
        <v>3.44</v>
      </c>
      <c r="D939" s="10" t="s">
        <v>11</v>
      </c>
      <c r="E939" s="11" t="s">
        <v>35</v>
      </c>
      <c r="F939" s="12" t="s">
        <v>512</v>
      </c>
      <c r="G939" s="13">
        <v>3.15</v>
      </c>
      <c r="H939" s="12" t="s">
        <v>11</v>
      </c>
      <c r="I939" s="14" t="s">
        <v>5</v>
      </c>
    </row>
    <row r="940" spans="2:9">
      <c r="B940" s="48" t="s">
        <v>607</v>
      </c>
      <c r="C940" s="51">
        <v>3.58</v>
      </c>
      <c r="D940" s="10" t="s">
        <v>11</v>
      </c>
      <c r="E940" s="11" t="s">
        <v>35</v>
      </c>
      <c r="F940" s="12" t="s">
        <v>605</v>
      </c>
      <c r="G940" s="13">
        <v>3.15</v>
      </c>
      <c r="H940" s="12" t="s">
        <v>11</v>
      </c>
      <c r="I940" s="14" t="s">
        <v>5</v>
      </c>
    </row>
    <row r="941" spans="2:9">
      <c r="B941" s="48" t="s">
        <v>630</v>
      </c>
      <c r="C941" s="61">
        <v>3.53</v>
      </c>
      <c r="D941" s="10" t="s">
        <v>48</v>
      </c>
      <c r="E941" s="11" t="s">
        <v>35</v>
      </c>
      <c r="F941" s="12" t="s">
        <v>244</v>
      </c>
      <c r="G941" s="13">
        <v>3.15</v>
      </c>
      <c r="H941" s="12" t="s">
        <v>30</v>
      </c>
      <c r="I941" s="14" t="s">
        <v>5</v>
      </c>
    </row>
    <row r="942" spans="2:9">
      <c r="B942" s="48" t="s">
        <v>570</v>
      </c>
      <c r="C942" s="61">
        <v>3.63</v>
      </c>
      <c r="D942" s="10" t="s">
        <v>48</v>
      </c>
      <c r="E942" s="11" t="s">
        <v>35</v>
      </c>
      <c r="F942" s="12" t="s">
        <v>414</v>
      </c>
      <c r="G942" s="12">
        <v>3.11</v>
      </c>
      <c r="H942" s="12" t="s">
        <v>48</v>
      </c>
      <c r="I942" s="14" t="s">
        <v>5</v>
      </c>
    </row>
    <row r="943" spans="2:9">
      <c r="B943" s="48" t="s">
        <v>633</v>
      </c>
      <c r="C943" s="51">
        <v>3.52</v>
      </c>
      <c r="D943" s="10" t="s">
        <v>30</v>
      </c>
      <c r="E943" s="11" t="s">
        <v>35</v>
      </c>
      <c r="F943" s="12" t="s">
        <v>428</v>
      </c>
      <c r="G943" s="12">
        <v>3.11</v>
      </c>
      <c r="H943" s="12" t="s">
        <v>48</v>
      </c>
      <c r="I943" s="14" t="s">
        <v>5</v>
      </c>
    </row>
    <row r="944" spans="2:9">
      <c r="B944" s="48" t="s">
        <v>719</v>
      </c>
      <c r="C944" s="51">
        <v>3.34</v>
      </c>
      <c r="D944" s="10" t="s">
        <v>30</v>
      </c>
      <c r="E944" s="11" t="s">
        <v>5</v>
      </c>
      <c r="F944" s="12" t="s">
        <v>588</v>
      </c>
      <c r="G944" s="12">
        <v>3.11</v>
      </c>
      <c r="H944" s="12" t="s">
        <v>71</v>
      </c>
      <c r="I944" s="14" t="s">
        <v>5</v>
      </c>
    </row>
    <row r="945" spans="2:9">
      <c r="B945" s="48" t="s">
        <v>269</v>
      </c>
      <c r="C945" s="51">
        <v>4</v>
      </c>
      <c r="D945" s="10" t="s">
        <v>30</v>
      </c>
      <c r="E945" s="11" t="s">
        <v>35</v>
      </c>
      <c r="F945" s="12" t="s">
        <v>414</v>
      </c>
      <c r="G945" s="17">
        <v>3.11</v>
      </c>
      <c r="H945" s="12" t="s">
        <v>58</v>
      </c>
      <c r="I945" s="14" t="s">
        <v>5</v>
      </c>
    </row>
    <row r="946" spans="2:9">
      <c r="B946" s="48" t="s">
        <v>606</v>
      </c>
      <c r="C946" s="51">
        <v>3.58</v>
      </c>
      <c r="D946" s="10" t="s">
        <v>30</v>
      </c>
      <c r="E946" s="11" t="s">
        <v>5</v>
      </c>
      <c r="F946" s="12" t="s">
        <v>637</v>
      </c>
      <c r="G946" s="17">
        <v>3.11</v>
      </c>
      <c r="H946" s="12" t="s">
        <v>58</v>
      </c>
      <c r="I946" s="14" t="s">
        <v>5</v>
      </c>
    </row>
    <row r="947" spans="2:9">
      <c r="B947" s="48" t="s">
        <v>506</v>
      </c>
      <c r="C947" s="52">
        <v>3.7</v>
      </c>
      <c r="D947" s="10" t="s">
        <v>30</v>
      </c>
      <c r="E947" s="11" t="s">
        <v>35</v>
      </c>
      <c r="F947" s="12" t="s">
        <v>414</v>
      </c>
      <c r="G947" s="13">
        <v>3.11</v>
      </c>
      <c r="H947" s="12" t="s">
        <v>11</v>
      </c>
      <c r="I947" s="14" t="s">
        <v>35</v>
      </c>
    </row>
    <row r="948" spans="2:9">
      <c r="B948" s="48" t="s">
        <v>620</v>
      </c>
      <c r="C948" s="51">
        <v>3.55</v>
      </c>
      <c r="D948" s="10" t="s">
        <v>30</v>
      </c>
      <c r="E948" s="11" t="s">
        <v>35</v>
      </c>
      <c r="F948" s="12" t="s">
        <v>516</v>
      </c>
      <c r="G948" s="12">
        <v>3.1</v>
      </c>
      <c r="H948" s="12" t="s">
        <v>71</v>
      </c>
      <c r="I948" s="14" t="s">
        <v>5</v>
      </c>
    </row>
    <row r="949" spans="2:9">
      <c r="B949" s="48" t="s">
        <v>570</v>
      </c>
      <c r="C949" s="51">
        <v>3.63</v>
      </c>
      <c r="D949" s="10" t="s">
        <v>30</v>
      </c>
      <c r="E949" s="11" t="s">
        <v>35</v>
      </c>
      <c r="F949" s="12" t="s">
        <v>516</v>
      </c>
      <c r="G949" s="12">
        <v>3.1</v>
      </c>
      <c r="H949" s="12" t="s">
        <v>38</v>
      </c>
      <c r="I949" s="14" t="s">
        <v>5</v>
      </c>
    </row>
    <row r="950" spans="2:9">
      <c r="B950" s="48" t="s">
        <v>364</v>
      </c>
      <c r="C950" s="51">
        <v>3.86</v>
      </c>
      <c r="D950" s="10" t="s">
        <v>58</v>
      </c>
      <c r="E950" s="11" t="s">
        <v>35</v>
      </c>
      <c r="F950" s="12" t="s">
        <v>712</v>
      </c>
      <c r="G950" s="13">
        <v>3.1</v>
      </c>
      <c r="H950" s="12" t="s">
        <v>102</v>
      </c>
      <c r="I950" s="14" t="s">
        <v>39</v>
      </c>
    </row>
    <row r="951" spans="2:9">
      <c r="B951" s="48" t="s">
        <v>681</v>
      </c>
      <c r="C951" s="51">
        <v>3.44</v>
      </c>
      <c r="D951" s="10" t="s">
        <v>58</v>
      </c>
      <c r="E951" s="11" t="s">
        <v>35</v>
      </c>
      <c r="F951" s="12" t="s">
        <v>753</v>
      </c>
      <c r="G951" s="13">
        <v>3.1</v>
      </c>
      <c r="H951" s="12" t="s">
        <v>71</v>
      </c>
      <c r="I951" s="14" t="s">
        <v>39</v>
      </c>
    </row>
    <row r="952" spans="2:9" ht="15.75">
      <c r="B952" s="49" t="s">
        <v>105</v>
      </c>
      <c r="C952" s="58">
        <v>4.3099999999999996</v>
      </c>
      <c r="D952" s="10" t="s">
        <v>4</v>
      </c>
      <c r="E952" s="11" t="s">
        <v>35</v>
      </c>
      <c r="F952" s="12" t="s">
        <v>251</v>
      </c>
      <c r="G952" s="17">
        <v>3.06</v>
      </c>
      <c r="H952" s="12" t="s">
        <v>48</v>
      </c>
      <c r="I952" s="14" t="s">
        <v>5</v>
      </c>
    </row>
    <row r="953" spans="2:9">
      <c r="B953" s="48" t="s">
        <v>631</v>
      </c>
      <c r="C953" s="51">
        <v>3.53</v>
      </c>
      <c r="D953" s="10" t="s">
        <v>38</v>
      </c>
      <c r="E953" s="11" t="s">
        <v>35</v>
      </c>
      <c r="F953" s="12" t="s">
        <v>262</v>
      </c>
      <c r="G953" s="12">
        <v>3.05</v>
      </c>
      <c r="H953" s="12" t="s">
        <v>48</v>
      </c>
      <c r="I953" s="14" t="s">
        <v>5</v>
      </c>
    </row>
    <row r="954" spans="2:9">
      <c r="B954" s="48" t="s">
        <v>341</v>
      </c>
      <c r="C954" s="51">
        <v>3.89</v>
      </c>
      <c r="D954" s="10" t="s">
        <v>38</v>
      </c>
      <c r="E954" s="11" t="s">
        <v>35</v>
      </c>
      <c r="F954" s="12" t="s">
        <v>319</v>
      </c>
      <c r="G954" s="12">
        <v>3.05</v>
      </c>
      <c r="H954" s="12" t="s">
        <v>48</v>
      </c>
      <c r="I954" s="14" t="s">
        <v>5</v>
      </c>
    </row>
    <row r="955" spans="2:9">
      <c r="B955" s="48" t="s">
        <v>142</v>
      </c>
      <c r="C955" s="51">
        <v>4.22</v>
      </c>
      <c r="D955" s="10" t="s">
        <v>38</v>
      </c>
      <c r="E955" s="11" t="s">
        <v>35</v>
      </c>
      <c r="F955" s="12" t="s">
        <v>462</v>
      </c>
      <c r="G955" s="17">
        <v>3.05</v>
      </c>
      <c r="H955" s="12" t="s">
        <v>71</v>
      </c>
      <c r="I955" s="14" t="s">
        <v>5</v>
      </c>
    </row>
    <row r="956" spans="2:9">
      <c r="B956" s="48" t="s">
        <v>655</v>
      </c>
      <c r="C956" s="51">
        <v>3.5</v>
      </c>
      <c r="D956" s="10" t="s">
        <v>71</v>
      </c>
      <c r="E956" s="11" t="s">
        <v>35</v>
      </c>
      <c r="F956" s="12" t="s">
        <v>259</v>
      </c>
      <c r="G956" s="12">
        <v>3.05</v>
      </c>
      <c r="H956" s="12" t="s">
        <v>71</v>
      </c>
      <c r="I956" s="14" t="s">
        <v>5</v>
      </c>
    </row>
    <row r="957" spans="2:9">
      <c r="B957" s="48" t="s">
        <v>735</v>
      </c>
      <c r="C957" s="51">
        <v>3.28</v>
      </c>
      <c r="D957" s="10" t="s">
        <v>71</v>
      </c>
      <c r="E957" s="11" t="s">
        <v>35</v>
      </c>
      <c r="F957" s="12" t="s">
        <v>616</v>
      </c>
      <c r="G957" s="12">
        <v>3.05</v>
      </c>
      <c r="H957" s="12" t="s">
        <v>58</v>
      </c>
      <c r="I957" s="14" t="s">
        <v>5</v>
      </c>
    </row>
    <row r="958" spans="2:9">
      <c r="B958" s="48" t="s">
        <v>738</v>
      </c>
      <c r="C958" s="51">
        <v>3.27</v>
      </c>
      <c r="D958" s="10" t="s">
        <v>71</v>
      </c>
      <c r="E958" s="11" t="s">
        <v>35</v>
      </c>
      <c r="F958" s="12" t="s">
        <v>635</v>
      </c>
      <c r="G958" s="17">
        <v>3.05</v>
      </c>
      <c r="H958" s="12" t="s">
        <v>58</v>
      </c>
      <c r="I958" s="14" t="s">
        <v>5</v>
      </c>
    </row>
    <row r="959" spans="2:9">
      <c r="B959" s="48" t="s">
        <v>656</v>
      </c>
      <c r="C959" s="52">
        <v>3.5</v>
      </c>
      <c r="D959" s="10" t="s">
        <v>71</v>
      </c>
      <c r="E959" s="11" t="s">
        <v>35</v>
      </c>
      <c r="F959" s="12" t="s">
        <v>692</v>
      </c>
      <c r="G959" s="12">
        <v>3.05</v>
      </c>
      <c r="H959" s="12" t="s">
        <v>102</v>
      </c>
      <c r="I959" s="14" t="s">
        <v>5</v>
      </c>
    </row>
    <row r="960" spans="2:9">
      <c r="B960" s="48" t="s">
        <v>374</v>
      </c>
      <c r="C960" s="51">
        <v>3.85</v>
      </c>
      <c r="D960" s="10" t="s">
        <v>71</v>
      </c>
      <c r="E960" s="11" t="s">
        <v>35</v>
      </c>
      <c r="F960" s="12" t="s">
        <v>705</v>
      </c>
      <c r="G960" s="13">
        <v>3.05</v>
      </c>
      <c r="H960" s="12" t="s">
        <v>102</v>
      </c>
      <c r="I960" s="14" t="s">
        <v>35</v>
      </c>
    </row>
    <row r="961" spans="2:9">
      <c r="B961" s="48" t="s">
        <v>698</v>
      </c>
      <c r="C961" s="62">
        <v>3.4</v>
      </c>
      <c r="D961" s="10" t="s">
        <v>71</v>
      </c>
      <c r="E961" s="11" t="s">
        <v>35</v>
      </c>
      <c r="F961" s="12" t="s">
        <v>758</v>
      </c>
      <c r="G961" s="13">
        <v>3.05</v>
      </c>
      <c r="H961" s="12" t="s">
        <v>102</v>
      </c>
      <c r="I961" s="14" t="s">
        <v>5</v>
      </c>
    </row>
    <row r="962" spans="2:9">
      <c r="B962" s="48" t="s">
        <v>455</v>
      </c>
      <c r="C962" s="51">
        <v>3.78</v>
      </c>
      <c r="D962" s="10" t="s">
        <v>102</v>
      </c>
      <c r="E962" s="11" t="s">
        <v>35</v>
      </c>
      <c r="F962" s="12" t="s">
        <v>758</v>
      </c>
      <c r="G962" s="12">
        <v>3.05</v>
      </c>
      <c r="H962" s="12" t="s">
        <v>71</v>
      </c>
      <c r="I962" s="14" t="s">
        <v>5</v>
      </c>
    </row>
    <row r="963" spans="2:9">
      <c r="B963" s="48" t="s">
        <v>723</v>
      </c>
      <c r="C963" s="51">
        <v>3.33</v>
      </c>
      <c r="D963" s="10" t="s">
        <v>102</v>
      </c>
      <c r="E963" s="11" t="s">
        <v>35</v>
      </c>
      <c r="F963" s="12" t="s">
        <v>383</v>
      </c>
      <c r="G963" s="17">
        <v>3</v>
      </c>
      <c r="H963" s="12" t="s">
        <v>48</v>
      </c>
      <c r="I963" s="14" t="s">
        <v>5</v>
      </c>
    </row>
    <row r="964" spans="2:9">
      <c r="B964" s="48" t="s">
        <v>755</v>
      </c>
      <c r="C964" s="51">
        <v>3.21</v>
      </c>
      <c r="D964" s="10" t="s">
        <v>102</v>
      </c>
      <c r="E964" s="11" t="s">
        <v>35</v>
      </c>
      <c r="F964" s="12" t="s">
        <v>458</v>
      </c>
      <c r="G964" s="17">
        <v>3</v>
      </c>
      <c r="H964" s="12" t="s">
        <v>71</v>
      </c>
      <c r="I964" s="14" t="s">
        <v>5</v>
      </c>
    </row>
    <row r="965" spans="2:9">
      <c r="B965" s="48" t="s">
        <v>756</v>
      </c>
      <c r="C965" s="52">
        <v>3.2</v>
      </c>
      <c r="D965" s="10" t="s">
        <v>102</v>
      </c>
      <c r="E965" s="11" t="s">
        <v>35</v>
      </c>
      <c r="F965" s="12" t="s">
        <v>703</v>
      </c>
      <c r="G965" s="13">
        <v>3</v>
      </c>
      <c r="H965" s="12" t="s">
        <v>102</v>
      </c>
      <c r="I965" s="14" t="s">
        <v>39</v>
      </c>
    </row>
    <row r="966" spans="2:9">
      <c r="B966" s="48" t="s">
        <v>716</v>
      </c>
      <c r="C966" s="51">
        <v>3.35</v>
      </c>
      <c r="D966" s="10" t="s">
        <v>102</v>
      </c>
      <c r="E966" s="11" t="s">
        <v>35</v>
      </c>
      <c r="F966" s="12" t="s">
        <v>729</v>
      </c>
      <c r="G966" s="13">
        <v>3</v>
      </c>
      <c r="H966" s="12" t="s">
        <v>30</v>
      </c>
      <c r="I966" s="14" t="s">
        <v>5</v>
      </c>
    </row>
    <row r="967" spans="2:9">
      <c r="B967" s="48" t="s">
        <v>757</v>
      </c>
      <c r="C967" s="52">
        <v>3.2</v>
      </c>
      <c r="D967" s="10" t="s">
        <v>102</v>
      </c>
      <c r="E967" s="11" t="s">
        <v>5</v>
      </c>
      <c r="F967" s="12" t="s">
        <v>741</v>
      </c>
      <c r="G967" s="13">
        <v>3</v>
      </c>
      <c r="H967" s="12" t="s">
        <v>30</v>
      </c>
      <c r="I967" s="14" t="s">
        <v>5</v>
      </c>
    </row>
    <row r="968" spans="2:9">
      <c r="B968" s="48" t="s">
        <v>515</v>
      </c>
      <c r="C968" s="51">
        <v>3.68</v>
      </c>
      <c r="D968" s="10" t="s">
        <v>102</v>
      </c>
      <c r="E968" s="11" t="s">
        <v>35</v>
      </c>
      <c r="F968" s="12" t="s">
        <v>748</v>
      </c>
      <c r="G968" s="13">
        <v>3</v>
      </c>
      <c r="H968" s="12" t="s">
        <v>58</v>
      </c>
      <c r="I968" s="14" t="s">
        <v>5</v>
      </c>
    </row>
    <row r="969" spans="2:9">
      <c r="B969" s="48" t="s">
        <v>717</v>
      </c>
      <c r="C969" s="51">
        <v>3.35</v>
      </c>
      <c r="D969" s="10" t="s">
        <v>11</v>
      </c>
      <c r="E969" s="11" t="s">
        <v>35</v>
      </c>
      <c r="F969" s="12" t="s">
        <v>749</v>
      </c>
      <c r="G969" s="13">
        <v>3</v>
      </c>
      <c r="H969" s="12" t="s">
        <v>38</v>
      </c>
      <c r="I969" s="14" t="s">
        <v>5</v>
      </c>
    </row>
    <row r="970" spans="2:9">
      <c r="B970" s="48" t="s">
        <v>608</v>
      </c>
      <c r="C970" s="51">
        <v>3.57</v>
      </c>
      <c r="D970" s="10" t="s">
        <v>11</v>
      </c>
      <c r="E970" s="11" t="s">
        <v>35</v>
      </c>
      <c r="F970" s="12" t="s">
        <v>754</v>
      </c>
      <c r="G970" s="13">
        <v>3</v>
      </c>
      <c r="H970" s="12" t="s">
        <v>102</v>
      </c>
      <c r="I970" s="14" t="s">
        <v>5</v>
      </c>
    </row>
    <row r="971" spans="2:9">
      <c r="B971" s="48" t="s">
        <v>746</v>
      </c>
      <c r="C971" s="51">
        <v>3.26</v>
      </c>
      <c r="D971" s="10" t="s">
        <v>11</v>
      </c>
      <c r="E971" s="11" t="s">
        <v>35</v>
      </c>
      <c r="F971" s="12" t="s">
        <v>760</v>
      </c>
      <c r="G971" s="13">
        <v>3</v>
      </c>
      <c r="H971" s="12" t="s">
        <v>11</v>
      </c>
      <c r="I971" s="14" t="s">
        <v>35</v>
      </c>
    </row>
    <row r="972" spans="2:9">
      <c r="B972" s="48" t="s">
        <v>708</v>
      </c>
      <c r="C972" s="51">
        <v>3.37</v>
      </c>
      <c r="D972" s="10" t="s">
        <v>11</v>
      </c>
      <c r="E972" s="11" t="s">
        <v>35</v>
      </c>
      <c r="F972" s="12" t="s">
        <v>116</v>
      </c>
      <c r="G972" s="12">
        <v>0</v>
      </c>
      <c r="H972" s="12" t="s">
        <v>4</v>
      </c>
      <c r="I972" s="14" t="s">
        <v>5</v>
      </c>
    </row>
    <row r="973" spans="2:9">
      <c r="B973" s="48" t="s">
        <v>634</v>
      </c>
      <c r="C973" s="51">
        <v>3.52</v>
      </c>
      <c r="D973" s="10" t="s">
        <v>11</v>
      </c>
      <c r="E973" s="11" t="s">
        <v>35</v>
      </c>
      <c r="F973" s="12" t="s">
        <v>238</v>
      </c>
      <c r="G973" s="12">
        <v>0</v>
      </c>
      <c r="H973" s="12" t="s">
        <v>4</v>
      </c>
      <c r="I973" s="14" t="s">
        <v>5</v>
      </c>
    </row>
    <row r="974" spans="2:9">
      <c r="B974" s="48" t="s">
        <v>247</v>
      </c>
      <c r="C974" s="52">
        <v>4.05</v>
      </c>
      <c r="D974" s="10" t="s">
        <v>48</v>
      </c>
      <c r="E974" s="11" t="s">
        <v>35</v>
      </c>
      <c r="F974" s="12" t="s">
        <v>268</v>
      </c>
      <c r="G974" s="12">
        <v>0</v>
      </c>
      <c r="H974" s="12" t="s">
        <v>48</v>
      </c>
      <c r="I974" s="14" t="s">
        <v>5</v>
      </c>
    </row>
    <row r="975" spans="2:9">
      <c r="B975" s="48" t="s">
        <v>271</v>
      </c>
      <c r="C975" s="51">
        <v>4</v>
      </c>
      <c r="D975" s="10" t="s">
        <v>48</v>
      </c>
      <c r="E975" s="11" t="s">
        <v>35</v>
      </c>
      <c r="F975" s="12"/>
      <c r="G975" s="12"/>
      <c r="H975" s="12" t="s">
        <v>58</v>
      </c>
      <c r="I975" s="14" t="s">
        <v>5</v>
      </c>
    </row>
    <row r="976" spans="2:9">
      <c r="B976" s="48" t="s">
        <v>198</v>
      </c>
      <c r="C976" s="52">
        <v>4.1100000000000003</v>
      </c>
      <c r="D976" s="10" t="s">
        <v>48</v>
      </c>
      <c r="E976" s="11" t="s">
        <v>35</v>
      </c>
      <c r="F976" s="12" t="s">
        <v>657</v>
      </c>
      <c r="G976" s="17"/>
      <c r="H976" s="12" t="s">
        <v>38</v>
      </c>
      <c r="I976" s="14" t="s">
        <v>5</v>
      </c>
    </row>
    <row r="977" spans="2:9" ht="15.75">
      <c r="B977" s="63" t="s">
        <v>573</v>
      </c>
      <c r="C977" s="58">
        <v>3.63</v>
      </c>
      <c r="D977" s="10" t="s">
        <v>30</v>
      </c>
      <c r="E977" s="11" t="s">
        <v>35</v>
      </c>
      <c r="F977" s="12" t="s">
        <v>732</v>
      </c>
      <c r="G977" s="13"/>
      <c r="H977" s="12" t="s">
        <v>30</v>
      </c>
      <c r="I977" s="14" t="s">
        <v>5</v>
      </c>
    </row>
    <row r="978" spans="2:9">
      <c r="B978" s="64"/>
      <c r="C978" s="58"/>
      <c r="D978" s="65"/>
      <c r="E978" s="66"/>
      <c r="F978" s="12"/>
      <c r="G978" s="13"/>
      <c r="H978" s="12"/>
      <c r="I978" s="14"/>
    </row>
    <row r="979" spans="2:9">
      <c r="B979" s="64"/>
      <c r="C979" s="58"/>
      <c r="D979" s="65"/>
      <c r="E979" s="66"/>
      <c r="F979" s="12"/>
      <c r="G979" s="13"/>
      <c r="H979" s="12"/>
      <c r="I979" s="14"/>
    </row>
    <row r="980" spans="2:9">
      <c r="B980" s="64"/>
      <c r="C980" s="58"/>
      <c r="D980" s="65"/>
      <c r="E980" s="66"/>
      <c r="F980" s="12"/>
      <c r="G980" s="13"/>
      <c r="H980" s="12"/>
      <c r="I980" s="14"/>
    </row>
    <row r="981" spans="2:9">
      <c r="B981" s="64"/>
      <c r="C981" s="58"/>
      <c r="D981" s="65"/>
      <c r="E981" s="66"/>
      <c r="F981" s="12"/>
      <c r="G981" s="13"/>
      <c r="H981" s="12"/>
      <c r="I981" s="14"/>
    </row>
    <row r="982" spans="2:9">
      <c r="B982" s="64"/>
      <c r="C982" s="58"/>
      <c r="D982" s="65"/>
      <c r="E982" s="66"/>
      <c r="F982" s="12"/>
      <c r="G982" s="13"/>
      <c r="H982" s="12"/>
      <c r="I982" s="14"/>
    </row>
    <row r="983" spans="2:9">
      <c r="B983" s="64"/>
      <c r="C983" s="58"/>
      <c r="D983" s="65"/>
      <c r="E983" s="66"/>
      <c r="F983" s="12"/>
      <c r="G983" s="13"/>
      <c r="H983" s="12"/>
      <c r="I983" s="14"/>
    </row>
    <row r="984" spans="2:9">
      <c r="B984" s="64"/>
      <c r="C984" s="58"/>
      <c r="D984" s="65"/>
      <c r="E984" s="66"/>
      <c r="F984" s="12"/>
      <c r="G984" s="13"/>
      <c r="H984" s="12"/>
      <c r="I984" s="14"/>
    </row>
    <row r="985" spans="2:9">
      <c r="B985" s="64"/>
      <c r="C985" s="58"/>
      <c r="D985" s="65"/>
      <c r="E985" s="66"/>
      <c r="F985" s="12"/>
      <c r="G985" s="13"/>
      <c r="H985" s="12"/>
      <c r="I985" s="14"/>
    </row>
    <row r="986" spans="2:9">
      <c r="B986" s="64"/>
      <c r="C986" s="58"/>
      <c r="D986" s="65"/>
      <c r="E986" s="66"/>
      <c r="F986" s="12"/>
      <c r="G986" s="13"/>
      <c r="H986" s="12"/>
      <c r="I986" s="14"/>
    </row>
    <row r="987" spans="2:9">
      <c r="B987" s="64"/>
      <c r="C987" s="58"/>
      <c r="D987" s="65"/>
      <c r="E987" s="66"/>
      <c r="F987" s="12"/>
      <c r="G987" s="13"/>
      <c r="H987" s="12"/>
      <c r="I987" s="14"/>
    </row>
    <row r="988" spans="2:9">
      <c r="B988" s="64"/>
      <c r="C988" s="58"/>
      <c r="D988" s="65"/>
      <c r="E988" s="66"/>
      <c r="F988" s="12"/>
      <c r="G988" s="13"/>
      <c r="H988" s="12"/>
      <c r="I988" s="14"/>
    </row>
    <row r="989" spans="2:9">
      <c r="B989" s="64"/>
      <c r="C989" s="58"/>
      <c r="D989" s="65"/>
      <c r="E989" s="66"/>
      <c r="F989" s="12"/>
      <c r="G989" s="13"/>
      <c r="H989" s="12"/>
      <c r="I989" s="14"/>
    </row>
    <row r="990" spans="2:9">
      <c r="B990" s="64"/>
      <c r="C990" s="58"/>
      <c r="D990" s="65"/>
      <c r="E990" s="66"/>
      <c r="F990" s="12"/>
      <c r="G990" s="13"/>
      <c r="H990" s="12"/>
      <c r="I990" s="14"/>
    </row>
    <row r="991" spans="2:9">
      <c r="B991" s="64"/>
      <c r="C991" s="58"/>
      <c r="D991" s="65"/>
      <c r="E991" s="66"/>
      <c r="F991" s="12"/>
      <c r="G991" s="13"/>
      <c r="H991" s="12"/>
      <c r="I991" s="14"/>
    </row>
    <row r="992" spans="2:9">
      <c r="B992" s="64"/>
      <c r="C992" s="58"/>
      <c r="D992" s="65"/>
      <c r="E992" s="66"/>
      <c r="F992" s="12"/>
      <c r="G992" s="13"/>
      <c r="H992" s="12"/>
      <c r="I992" s="14"/>
    </row>
    <row r="993" spans="2:9">
      <c r="B993" s="64"/>
      <c r="C993" s="58"/>
      <c r="D993" s="65"/>
      <c r="E993" s="66"/>
      <c r="F993" s="12"/>
      <c r="G993" s="13"/>
      <c r="H993" s="12"/>
      <c r="I993" s="14"/>
    </row>
    <row r="994" spans="2:9">
      <c r="B994" s="64"/>
      <c r="C994" s="58"/>
      <c r="D994" s="65"/>
      <c r="E994" s="66"/>
      <c r="F994" s="12"/>
      <c r="G994" s="13"/>
      <c r="H994" s="12"/>
      <c r="I994" s="14"/>
    </row>
    <row r="995" spans="2:9">
      <c r="B995" s="64"/>
      <c r="C995" s="58"/>
      <c r="D995" s="65"/>
      <c r="E995" s="66"/>
      <c r="F995" s="12"/>
      <c r="G995" s="13"/>
      <c r="H995" s="12"/>
      <c r="I995" s="14"/>
    </row>
    <row r="996" spans="2:9">
      <c r="B996" s="64"/>
      <c r="C996" s="58"/>
      <c r="D996" s="65"/>
      <c r="E996" s="66"/>
      <c r="F996" s="12"/>
      <c r="G996" s="13"/>
      <c r="H996" s="12"/>
      <c r="I996" s="14"/>
    </row>
    <row r="997" spans="2:9">
      <c r="B997" s="64"/>
      <c r="C997" s="58"/>
      <c r="D997" s="65"/>
      <c r="E997" s="66"/>
      <c r="F997" s="12"/>
      <c r="G997" s="13"/>
      <c r="H997" s="12"/>
      <c r="I997" s="14"/>
    </row>
    <row r="998" spans="2:9">
      <c r="B998" s="64"/>
      <c r="C998" s="58"/>
      <c r="D998" s="65"/>
      <c r="E998" s="66"/>
      <c r="F998" s="12"/>
      <c r="G998" s="13"/>
      <c r="H998" s="12"/>
      <c r="I998" s="14"/>
    </row>
    <row r="999" spans="2:9">
      <c r="B999" s="64"/>
      <c r="C999" s="58"/>
      <c r="D999" s="65"/>
      <c r="E999" s="66"/>
      <c r="F999" s="12"/>
      <c r="G999" s="13"/>
      <c r="H999" s="12"/>
      <c r="I999" s="14"/>
    </row>
    <row r="1000" spans="2:9">
      <c r="B1000" s="64"/>
      <c r="C1000" s="58"/>
      <c r="D1000" s="65"/>
      <c r="E1000" s="66"/>
      <c r="F1000" s="12"/>
      <c r="G1000" s="13"/>
      <c r="H1000" s="12"/>
      <c r="I1000" s="14"/>
    </row>
    <row r="1001" spans="2:9">
      <c r="B1001" s="64"/>
      <c r="C1001" s="58"/>
      <c r="D1001" s="65"/>
      <c r="E1001" s="66"/>
      <c r="F1001" s="12"/>
      <c r="G1001" s="13"/>
      <c r="H1001" s="12"/>
      <c r="I1001" s="14"/>
    </row>
    <row r="1002" spans="2:9">
      <c r="B1002" s="64"/>
      <c r="C1002" s="58"/>
      <c r="D1002" s="65"/>
      <c r="E1002" s="66"/>
      <c r="F1002" s="12"/>
      <c r="G1002" s="13"/>
      <c r="H1002" s="12"/>
      <c r="I1002" s="14"/>
    </row>
    <row r="1003" spans="2:9">
      <c r="B1003" s="64"/>
      <c r="C1003" s="58"/>
      <c r="D1003" s="65"/>
      <c r="E1003" s="66"/>
      <c r="F1003" s="12"/>
      <c r="G1003" s="13"/>
      <c r="H1003" s="12"/>
      <c r="I1003" s="14"/>
    </row>
    <row r="1004" spans="2:9">
      <c r="B1004" s="64"/>
      <c r="C1004" s="58"/>
      <c r="D1004" s="65"/>
      <c r="E1004" s="66"/>
      <c r="F1004" s="12"/>
      <c r="G1004" s="13"/>
      <c r="H1004" s="12"/>
      <c r="I1004" s="14"/>
    </row>
    <row r="1005" spans="2:9">
      <c r="B1005" s="64"/>
      <c r="C1005" s="58"/>
      <c r="D1005" s="65"/>
      <c r="E1005" s="66"/>
      <c r="F1005" s="12"/>
      <c r="G1005" s="13"/>
      <c r="H1005" s="12"/>
      <c r="I1005" s="14"/>
    </row>
    <row r="1006" spans="2:9">
      <c r="B1006" s="64"/>
      <c r="C1006" s="58"/>
      <c r="D1006" s="65"/>
      <c r="E1006" s="66"/>
      <c r="F1006" s="12"/>
      <c r="G1006" s="13"/>
      <c r="H1006" s="12"/>
      <c r="I1006" s="14"/>
    </row>
    <row r="1007" spans="2:9">
      <c r="B1007" s="64"/>
      <c r="C1007" s="58"/>
      <c r="D1007" s="65"/>
      <c r="E1007" s="66"/>
      <c r="F1007" s="12"/>
      <c r="G1007" s="13"/>
      <c r="H1007" s="12"/>
      <c r="I1007" s="14"/>
    </row>
    <row r="1008" spans="2:9">
      <c r="B1008" s="64"/>
      <c r="C1008" s="58"/>
      <c r="D1008" s="65"/>
      <c r="E1008" s="66"/>
      <c r="F1008" s="12"/>
      <c r="G1008" s="13"/>
      <c r="H1008" s="12"/>
      <c r="I1008" s="14"/>
    </row>
    <row r="1009" spans="2:9">
      <c r="B1009" s="64"/>
      <c r="C1009" s="58"/>
      <c r="D1009" s="65"/>
      <c r="E1009" s="66"/>
      <c r="F1009" s="12"/>
      <c r="G1009" s="13"/>
      <c r="H1009" s="12"/>
      <c r="I1009" s="14"/>
    </row>
    <row r="1010" spans="2:9">
      <c r="B1010" s="64"/>
      <c r="C1010" s="58"/>
      <c r="D1010" s="65"/>
      <c r="E1010" s="66"/>
      <c r="F1010" s="12"/>
      <c r="G1010" s="13"/>
      <c r="H1010" s="12"/>
      <c r="I1010" s="14"/>
    </row>
    <row r="1011" spans="2:9">
      <c r="B1011" s="64"/>
      <c r="C1011" s="58"/>
      <c r="D1011" s="65"/>
      <c r="E1011" s="66"/>
      <c r="F1011" s="12"/>
      <c r="G1011" s="13"/>
      <c r="H1011" s="12"/>
      <c r="I1011" s="14"/>
    </row>
    <row r="1012" spans="2:9">
      <c r="B1012" s="64"/>
      <c r="C1012" s="58"/>
      <c r="D1012" s="65"/>
      <c r="E1012" s="66"/>
      <c r="F1012" s="12"/>
      <c r="G1012" s="13"/>
      <c r="H1012" s="12"/>
      <c r="I1012" s="14"/>
    </row>
    <row r="1013" spans="2:9">
      <c r="B1013" s="64"/>
      <c r="C1013" s="58"/>
      <c r="D1013" s="65"/>
      <c r="E1013" s="66"/>
      <c r="F1013" s="12"/>
      <c r="G1013" s="13"/>
      <c r="H1013" s="12"/>
      <c r="I1013" s="14"/>
    </row>
    <row r="1014" spans="2:9">
      <c r="B1014" s="64"/>
      <c r="C1014" s="58"/>
      <c r="D1014" s="65"/>
      <c r="E1014" s="66"/>
      <c r="F1014" s="12"/>
      <c r="G1014" s="13"/>
      <c r="H1014" s="12"/>
      <c r="I1014" s="14"/>
    </row>
    <row r="1015" spans="2:9">
      <c r="B1015" s="64"/>
      <c r="C1015" s="58"/>
      <c r="D1015" s="65"/>
      <c r="E1015" s="66"/>
      <c r="F1015" s="12"/>
      <c r="G1015" s="13"/>
      <c r="H1015" s="12"/>
      <c r="I1015" s="14"/>
    </row>
    <row r="1016" spans="2:9">
      <c r="B1016" s="64"/>
      <c r="C1016" s="58"/>
      <c r="D1016" s="65"/>
      <c r="E1016" s="66"/>
      <c r="F1016" s="12"/>
      <c r="G1016" s="13"/>
      <c r="H1016" s="12"/>
      <c r="I1016" s="14"/>
    </row>
    <row r="1017" spans="2:9">
      <c r="B1017" s="64"/>
      <c r="C1017" s="58"/>
      <c r="D1017" s="65"/>
      <c r="E1017" s="66"/>
      <c r="F1017" s="12"/>
      <c r="G1017" s="13"/>
      <c r="H1017" s="12"/>
      <c r="I1017" s="14"/>
    </row>
    <row r="1018" spans="2:9">
      <c r="B1018" s="64"/>
      <c r="C1018" s="58"/>
      <c r="D1018" s="65"/>
      <c r="E1018" s="66"/>
      <c r="F1018" s="12"/>
      <c r="G1018" s="13"/>
      <c r="H1018" s="12"/>
      <c r="I1018" s="14"/>
    </row>
    <row r="1019" spans="2:9">
      <c r="B1019" s="64"/>
      <c r="C1019" s="58"/>
      <c r="D1019" s="65"/>
      <c r="E1019" s="66"/>
      <c r="F1019" s="12"/>
      <c r="G1019" s="13"/>
      <c r="H1019" s="12"/>
      <c r="I1019" s="14"/>
    </row>
    <row r="1020" spans="2:9">
      <c r="B1020" s="64"/>
      <c r="C1020" s="58"/>
      <c r="D1020" s="65"/>
      <c r="E1020" s="66"/>
      <c r="F1020" s="12"/>
      <c r="G1020" s="13"/>
      <c r="H1020" s="12"/>
      <c r="I1020" s="14"/>
    </row>
    <row r="1021" spans="2:9">
      <c r="B1021" s="64"/>
      <c r="C1021" s="58"/>
      <c r="D1021" s="65"/>
      <c r="E1021" s="66"/>
      <c r="F1021" s="12"/>
      <c r="G1021" s="13"/>
      <c r="H1021" s="12"/>
      <c r="I1021" s="14"/>
    </row>
    <row r="1022" spans="2:9">
      <c r="B1022" s="64"/>
      <c r="C1022" s="58"/>
      <c r="D1022" s="65"/>
      <c r="E1022" s="66"/>
      <c r="F1022" s="12"/>
      <c r="G1022" s="13"/>
      <c r="H1022" s="12"/>
      <c r="I1022" s="14"/>
    </row>
    <row r="1023" spans="2:9">
      <c r="B1023" s="64"/>
      <c r="C1023" s="58"/>
      <c r="D1023" s="65"/>
      <c r="E1023" s="66"/>
      <c r="F1023" s="12"/>
      <c r="G1023" s="13"/>
      <c r="H1023" s="12"/>
      <c r="I1023" s="14"/>
    </row>
    <row r="1024" spans="2:9">
      <c r="B1024" s="64"/>
      <c r="C1024" s="58"/>
      <c r="D1024" s="65"/>
      <c r="E1024" s="66"/>
      <c r="F1024" s="12"/>
      <c r="G1024" s="13"/>
      <c r="H1024" s="12"/>
      <c r="I1024" s="14"/>
    </row>
    <row r="1025" spans="2:9">
      <c r="B1025" s="64"/>
      <c r="C1025" s="58"/>
      <c r="D1025" s="65"/>
      <c r="E1025" s="66"/>
      <c r="F1025" s="12"/>
      <c r="G1025" s="13"/>
      <c r="H1025" s="12"/>
      <c r="I1025" s="14"/>
    </row>
    <row r="1026" spans="2:9">
      <c r="B1026" s="64"/>
      <c r="C1026" s="58"/>
      <c r="D1026" s="65"/>
      <c r="E1026" s="66"/>
      <c r="F1026" s="12"/>
      <c r="G1026" s="13"/>
      <c r="H1026" s="12"/>
      <c r="I1026" s="14"/>
    </row>
    <row r="1027" spans="2:9">
      <c r="B1027" s="64"/>
      <c r="C1027" s="58"/>
      <c r="D1027" s="65"/>
      <c r="E1027" s="66"/>
      <c r="F1027" s="12"/>
      <c r="G1027" s="13"/>
      <c r="H1027" s="12"/>
      <c r="I1027" s="14"/>
    </row>
    <row r="1028" spans="2:9">
      <c r="B1028" s="64"/>
      <c r="C1028" s="58"/>
      <c r="D1028" s="65"/>
      <c r="E1028" s="66"/>
      <c r="F1028" s="12"/>
      <c r="G1028" s="13"/>
      <c r="H1028" s="12"/>
      <c r="I1028" s="14"/>
    </row>
    <row r="1029" spans="2:9">
      <c r="B1029" s="64"/>
      <c r="C1029" s="58"/>
      <c r="D1029" s="65"/>
      <c r="E1029" s="66"/>
      <c r="F1029" s="12"/>
      <c r="G1029" s="13"/>
      <c r="H1029" s="12"/>
      <c r="I1029" s="14"/>
    </row>
    <row r="1030" spans="2:9">
      <c r="B1030" s="64"/>
      <c r="C1030" s="58"/>
      <c r="D1030" s="65"/>
      <c r="E1030" s="66"/>
      <c r="F1030" s="12"/>
      <c r="G1030" s="13"/>
      <c r="H1030" s="12"/>
      <c r="I1030" s="14"/>
    </row>
    <row r="1031" spans="2:9">
      <c r="B1031" s="64"/>
      <c r="C1031" s="58"/>
      <c r="D1031" s="65"/>
      <c r="E1031" s="66"/>
      <c r="F1031" s="12"/>
      <c r="G1031" s="13"/>
      <c r="H1031" s="12"/>
      <c r="I1031" s="14"/>
    </row>
    <row r="1032" spans="2:9">
      <c r="B1032" s="64"/>
      <c r="C1032" s="58"/>
      <c r="D1032" s="65"/>
      <c r="E1032" s="66"/>
      <c r="F1032" s="12"/>
      <c r="G1032" s="13"/>
      <c r="H1032" s="12"/>
      <c r="I1032" s="14"/>
    </row>
    <row r="1033" spans="2:9">
      <c r="B1033" s="64"/>
      <c r="C1033" s="58"/>
      <c r="D1033" s="65"/>
      <c r="E1033" s="66"/>
      <c r="F1033" s="12"/>
      <c r="G1033" s="13"/>
      <c r="H1033" s="12"/>
      <c r="I1033" s="14"/>
    </row>
    <row r="1034" spans="2:9">
      <c r="B1034" s="64"/>
      <c r="C1034" s="58"/>
      <c r="D1034" s="65"/>
      <c r="E1034" s="66"/>
      <c r="F1034" s="12"/>
      <c r="G1034" s="13"/>
      <c r="H1034" s="12"/>
      <c r="I1034" s="14"/>
    </row>
    <row r="1035" spans="2:9">
      <c r="B1035" s="64"/>
      <c r="C1035" s="58"/>
      <c r="D1035" s="65"/>
      <c r="E1035" s="66"/>
      <c r="F1035" s="12"/>
      <c r="G1035" s="13"/>
      <c r="H1035" s="12"/>
      <c r="I1035" s="14"/>
    </row>
    <row r="1036" spans="2:9">
      <c r="B1036" s="64"/>
      <c r="C1036" s="58"/>
      <c r="D1036" s="65"/>
      <c r="E1036" s="66"/>
      <c r="F1036" s="12"/>
      <c r="G1036" s="13"/>
      <c r="H1036" s="12"/>
      <c r="I1036" s="14"/>
    </row>
    <row r="1037" spans="2:9">
      <c r="B1037" s="64"/>
      <c r="C1037" s="58"/>
      <c r="D1037" s="65"/>
      <c r="E1037" s="66"/>
      <c r="F1037" s="12"/>
      <c r="G1037" s="13"/>
      <c r="H1037" s="12"/>
      <c r="I1037" s="14"/>
    </row>
    <row r="1038" spans="2:9">
      <c r="B1038" s="64"/>
      <c r="C1038" s="58"/>
      <c r="D1038" s="65"/>
      <c r="E1038" s="66"/>
      <c r="F1038" s="12"/>
      <c r="G1038" s="13"/>
      <c r="H1038" s="12"/>
      <c r="I1038" s="14"/>
    </row>
    <row r="1039" spans="2:9">
      <c r="B1039" s="64"/>
      <c r="C1039" s="58"/>
      <c r="D1039" s="65"/>
      <c r="E1039" s="66"/>
      <c r="F1039" s="12"/>
      <c r="G1039" s="13"/>
      <c r="H1039" s="12"/>
      <c r="I1039" s="14"/>
    </row>
    <row r="1040" spans="2:9">
      <c r="B1040" s="64"/>
      <c r="C1040" s="58"/>
      <c r="D1040" s="65"/>
      <c r="E1040" s="66"/>
      <c r="F1040" s="12"/>
      <c r="G1040" s="13"/>
      <c r="H1040" s="12"/>
      <c r="I1040" s="14"/>
    </row>
    <row r="1041" spans="2:9">
      <c r="B1041" s="64"/>
      <c r="C1041" s="58"/>
      <c r="D1041" s="65"/>
      <c r="E1041" s="66"/>
      <c r="F1041" s="12"/>
      <c r="G1041" s="13"/>
      <c r="H1041" s="12"/>
      <c r="I1041" s="14"/>
    </row>
    <row r="1042" spans="2:9">
      <c r="B1042" s="64"/>
      <c r="C1042" s="58"/>
      <c r="D1042" s="65"/>
      <c r="E1042" s="66"/>
      <c r="F1042" s="12"/>
      <c r="G1042" s="13"/>
      <c r="H1042" s="12"/>
      <c r="I1042" s="14"/>
    </row>
    <row r="1043" spans="2:9">
      <c r="B1043" s="64"/>
      <c r="C1043" s="58"/>
      <c r="D1043" s="65"/>
      <c r="E1043" s="66"/>
      <c r="F1043" s="12"/>
      <c r="G1043" s="13"/>
      <c r="H1043" s="12"/>
      <c r="I1043" s="14"/>
    </row>
    <row r="1044" spans="2:9">
      <c r="B1044" s="64"/>
      <c r="C1044" s="58"/>
      <c r="D1044" s="65"/>
      <c r="E1044" s="66"/>
      <c r="F1044" s="12"/>
      <c r="G1044" s="13"/>
      <c r="H1044" s="12"/>
      <c r="I1044" s="14"/>
    </row>
    <row r="1045" spans="2:9">
      <c r="B1045" s="64"/>
      <c r="C1045" s="58"/>
      <c r="D1045" s="65"/>
      <c r="E1045" s="66"/>
      <c r="F1045" s="12"/>
      <c r="G1045" s="13"/>
      <c r="H1045" s="12"/>
      <c r="I1045" s="14"/>
    </row>
    <row r="1046" spans="2:9">
      <c r="B1046" s="64"/>
      <c r="C1046" s="58"/>
      <c r="D1046" s="65"/>
      <c r="E1046" s="66"/>
      <c r="F1046" s="12"/>
      <c r="G1046" s="13"/>
      <c r="H1046" s="12"/>
      <c r="I1046" s="14"/>
    </row>
    <row r="1047" spans="2:9">
      <c r="B1047" s="64"/>
      <c r="C1047" s="58"/>
      <c r="D1047" s="65"/>
      <c r="E1047" s="66"/>
      <c r="F1047" s="12"/>
      <c r="G1047" s="13"/>
      <c r="H1047" s="12"/>
      <c r="I1047" s="14"/>
    </row>
    <row r="1048" spans="2:9">
      <c r="B1048" s="64"/>
      <c r="C1048" s="58"/>
      <c r="D1048" s="65"/>
      <c r="E1048" s="66"/>
      <c r="F1048" s="12"/>
      <c r="G1048" s="13"/>
      <c r="H1048" s="12"/>
      <c r="I1048" s="14"/>
    </row>
    <row r="1049" spans="2:9">
      <c r="B1049" s="64"/>
      <c r="C1049" s="58"/>
      <c r="D1049" s="65"/>
      <c r="E1049" s="66"/>
      <c r="F1049" s="12"/>
      <c r="G1049" s="13"/>
      <c r="H1049" s="12"/>
      <c r="I1049" s="14"/>
    </row>
    <row r="1050" spans="2:9">
      <c r="B1050" s="64"/>
      <c r="C1050" s="58"/>
      <c r="D1050" s="65"/>
      <c r="E1050" s="66"/>
      <c r="F1050" s="12"/>
      <c r="G1050" s="13"/>
      <c r="H1050" s="12"/>
      <c r="I1050" s="14"/>
    </row>
    <row r="1051" spans="2:9">
      <c r="B1051" s="64"/>
      <c r="C1051" s="58"/>
      <c r="D1051" s="65"/>
      <c r="E1051" s="66"/>
      <c r="F1051" s="12"/>
      <c r="G1051" s="13"/>
      <c r="H1051" s="12"/>
      <c r="I1051" s="14"/>
    </row>
    <row r="1052" spans="2:9">
      <c r="B1052" s="64"/>
      <c r="C1052" s="58"/>
      <c r="D1052" s="65"/>
      <c r="E1052" s="66"/>
      <c r="F1052" s="12"/>
      <c r="G1052" s="13"/>
      <c r="H1052" s="12"/>
      <c r="I1052" s="14"/>
    </row>
    <row r="1053" spans="2:9">
      <c r="B1053" s="64"/>
      <c r="C1053" s="58"/>
      <c r="D1053" s="65"/>
      <c r="E1053" s="66"/>
      <c r="F1053" s="12"/>
      <c r="G1053" s="13"/>
      <c r="H1053" s="12"/>
      <c r="I1053" s="14"/>
    </row>
    <row r="1054" spans="2:9">
      <c r="B1054" s="64"/>
      <c r="C1054" s="58"/>
      <c r="D1054" s="65"/>
      <c r="E1054" s="66"/>
      <c r="F1054" s="12"/>
      <c r="G1054" s="13"/>
      <c r="H1054" s="12"/>
      <c r="I1054" s="14"/>
    </row>
    <row r="1055" spans="2:9">
      <c r="B1055" s="64"/>
      <c r="C1055" s="58"/>
      <c r="D1055" s="65"/>
      <c r="E1055" s="66"/>
      <c r="F1055" s="12"/>
      <c r="G1055" s="13"/>
      <c r="H1055" s="12"/>
      <c r="I1055" s="14"/>
    </row>
    <row r="1056" spans="2:9">
      <c r="B1056" s="64"/>
      <c r="C1056" s="58"/>
      <c r="D1056" s="65"/>
      <c r="E1056" s="66"/>
      <c r="F1056" s="12"/>
      <c r="G1056" s="13"/>
      <c r="H1056" s="12"/>
      <c r="I1056" s="14"/>
    </row>
    <row r="1057" spans="2:9">
      <c r="B1057" s="64"/>
      <c r="C1057" s="58"/>
      <c r="D1057" s="65"/>
      <c r="E1057" s="66"/>
      <c r="F1057" s="12"/>
      <c r="G1057" s="13"/>
      <c r="H1057" s="12"/>
      <c r="I1057" s="14"/>
    </row>
    <row r="1058" spans="2:9">
      <c r="B1058" s="64"/>
      <c r="C1058" s="58"/>
      <c r="D1058" s="65"/>
      <c r="E1058" s="66"/>
      <c r="F1058" s="12"/>
      <c r="G1058" s="13"/>
      <c r="H1058" s="12"/>
      <c r="I1058" s="14"/>
    </row>
    <row r="1059" spans="2:9">
      <c r="B1059" s="64"/>
      <c r="C1059" s="58"/>
      <c r="D1059" s="65"/>
      <c r="E1059" s="66"/>
      <c r="F1059" s="12"/>
      <c r="G1059" s="13"/>
      <c r="H1059" s="12"/>
      <c r="I1059" s="14"/>
    </row>
    <row r="1060" spans="2:9">
      <c r="B1060" s="64"/>
      <c r="C1060" s="58"/>
      <c r="D1060" s="65"/>
      <c r="E1060" s="66"/>
      <c r="F1060" s="12"/>
      <c r="G1060" s="13"/>
      <c r="H1060" s="12"/>
      <c r="I1060" s="14"/>
    </row>
    <row r="1061" spans="2:9">
      <c r="B1061" s="64"/>
      <c r="C1061" s="58"/>
      <c r="D1061" s="65"/>
      <c r="E1061" s="66"/>
      <c r="F1061" s="12"/>
      <c r="G1061" s="13"/>
      <c r="H1061" s="12"/>
      <c r="I1061" s="14"/>
    </row>
    <row r="1062" spans="2:9">
      <c r="B1062" s="64"/>
      <c r="C1062" s="58"/>
      <c r="D1062" s="65"/>
      <c r="E1062" s="66"/>
      <c r="F1062" s="12"/>
      <c r="G1062" s="13"/>
      <c r="H1062" s="12"/>
      <c r="I1062" s="14"/>
    </row>
    <row r="1063" spans="2:9">
      <c r="B1063" s="64"/>
      <c r="C1063" s="58"/>
      <c r="D1063" s="65"/>
      <c r="E1063" s="66"/>
      <c r="F1063" s="12"/>
      <c r="G1063" s="13"/>
      <c r="H1063" s="12"/>
      <c r="I1063" s="14"/>
    </row>
    <row r="1064" spans="2:9">
      <c r="B1064" s="64"/>
      <c r="C1064" s="58"/>
      <c r="D1064" s="65"/>
      <c r="E1064" s="66"/>
      <c r="F1064" s="12"/>
      <c r="G1064" s="13"/>
      <c r="H1064" s="12"/>
      <c r="I1064" s="14"/>
    </row>
    <row r="1065" spans="2:9">
      <c r="B1065" s="64"/>
      <c r="C1065" s="58"/>
      <c r="D1065" s="65"/>
      <c r="E1065" s="66"/>
      <c r="F1065" s="12"/>
      <c r="G1065" s="13"/>
      <c r="H1065" s="12"/>
      <c r="I1065" s="14"/>
    </row>
    <row r="1066" spans="2:9">
      <c r="B1066" s="64"/>
      <c r="C1066" s="58"/>
      <c r="D1066" s="65"/>
      <c r="E1066" s="66"/>
      <c r="F1066" s="12"/>
      <c r="G1066" s="13"/>
      <c r="H1066" s="12"/>
      <c r="I1066" s="14"/>
    </row>
    <row r="1067" spans="2:9">
      <c r="B1067" s="64"/>
      <c r="C1067" s="58"/>
      <c r="D1067" s="65"/>
      <c r="E1067" s="66"/>
      <c r="F1067" s="12"/>
      <c r="G1067" s="13"/>
      <c r="H1067" s="12"/>
      <c r="I1067" s="14"/>
    </row>
    <row r="1068" spans="2:9">
      <c r="B1068" s="64"/>
      <c r="C1068" s="58"/>
      <c r="D1068" s="65"/>
      <c r="E1068" s="66"/>
      <c r="F1068" s="12"/>
      <c r="G1068" s="13"/>
      <c r="H1068" s="12"/>
      <c r="I1068" s="14"/>
    </row>
    <row r="1069" spans="2:9">
      <c r="B1069" s="64"/>
      <c r="C1069" s="58"/>
      <c r="D1069" s="65"/>
      <c r="E1069" s="66"/>
      <c r="F1069" s="12"/>
      <c r="G1069" s="13"/>
      <c r="H1069" s="12"/>
      <c r="I1069" s="14"/>
    </row>
    <row r="1070" spans="2:9">
      <c r="B1070" s="64"/>
      <c r="C1070" s="58"/>
      <c r="D1070" s="65"/>
      <c r="E1070" s="66"/>
      <c r="F1070" s="12"/>
      <c r="G1070" s="13"/>
      <c r="H1070" s="12"/>
      <c r="I1070" s="14"/>
    </row>
    <row r="1071" spans="2:9">
      <c r="B1071" s="64"/>
      <c r="C1071" s="58"/>
      <c r="D1071" s="65"/>
      <c r="E1071" s="66"/>
      <c r="F1071" s="12"/>
      <c r="G1071" s="13"/>
      <c r="H1071" s="12"/>
      <c r="I1071" s="14"/>
    </row>
    <row r="1072" spans="2:9">
      <c r="B1072" s="64"/>
      <c r="C1072" s="58"/>
      <c r="D1072" s="65"/>
      <c r="E1072" s="66"/>
      <c r="F1072" s="12"/>
      <c r="G1072" s="13"/>
      <c r="H1072" s="12"/>
      <c r="I1072" s="14"/>
    </row>
    <row r="1073" spans="2:9">
      <c r="B1073" s="64"/>
      <c r="C1073" s="58"/>
      <c r="D1073" s="65"/>
      <c r="E1073" s="66"/>
      <c r="F1073" s="12"/>
      <c r="G1073" s="13"/>
      <c r="H1073" s="12"/>
      <c r="I1073" s="14"/>
    </row>
    <row r="1074" spans="2:9">
      <c r="B1074" s="64"/>
      <c r="C1074" s="58"/>
      <c r="D1074" s="65"/>
      <c r="E1074" s="66"/>
      <c r="F1074" s="12"/>
      <c r="G1074" s="13"/>
      <c r="H1074" s="12"/>
      <c r="I1074" s="14"/>
    </row>
    <row r="1075" spans="2:9">
      <c r="B1075" s="64"/>
      <c r="C1075" s="58"/>
      <c r="D1075" s="65"/>
      <c r="E1075" s="66"/>
      <c r="F1075" s="12"/>
      <c r="G1075" s="13"/>
      <c r="H1075" s="12"/>
      <c r="I1075" s="14"/>
    </row>
    <row r="1076" spans="2:9">
      <c r="B1076" s="64"/>
      <c r="C1076" s="58"/>
      <c r="D1076" s="65"/>
      <c r="E1076" s="66"/>
      <c r="F1076" s="12"/>
      <c r="G1076" s="13"/>
      <c r="H1076" s="12"/>
      <c r="I1076" s="14"/>
    </row>
    <row r="1077" spans="2:9">
      <c r="B1077" s="64"/>
      <c r="C1077" s="58"/>
      <c r="D1077" s="65"/>
      <c r="E1077" s="66"/>
      <c r="F1077" s="12"/>
      <c r="G1077" s="13"/>
      <c r="H1077" s="12"/>
      <c r="I1077" s="14"/>
    </row>
    <row r="1078" spans="2:9">
      <c r="B1078" s="64"/>
      <c r="C1078" s="58"/>
      <c r="D1078" s="65"/>
      <c r="E1078" s="66"/>
      <c r="F1078" s="12"/>
      <c r="G1078" s="13"/>
      <c r="H1078" s="12"/>
      <c r="I1078" s="14"/>
    </row>
    <row r="1079" spans="2:9">
      <c r="B1079" s="64"/>
      <c r="C1079" s="58"/>
      <c r="D1079" s="65"/>
      <c r="E1079" s="66"/>
      <c r="F1079" s="12"/>
      <c r="G1079" s="13"/>
      <c r="H1079" s="12"/>
      <c r="I1079" s="14"/>
    </row>
    <row r="1080" spans="2:9">
      <c r="B1080" s="64"/>
      <c r="C1080" s="58"/>
      <c r="D1080" s="65"/>
      <c r="E1080" s="66"/>
      <c r="F1080" s="12"/>
      <c r="G1080" s="13"/>
      <c r="H1080" s="12"/>
      <c r="I1080" s="14"/>
    </row>
    <row r="1081" spans="2:9">
      <c r="B1081" s="64"/>
      <c r="C1081" s="58"/>
      <c r="D1081" s="65"/>
      <c r="E1081" s="66"/>
      <c r="F1081" s="12"/>
      <c r="G1081" s="13"/>
      <c r="H1081" s="12"/>
      <c r="I1081" s="14"/>
    </row>
    <row r="1082" spans="2:9">
      <c r="B1082" s="64"/>
      <c r="C1082" s="58"/>
      <c r="D1082" s="65"/>
      <c r="E1082" s="66"/>
      <c r="F1082" s="12"/>
      <c r="G1082" s="13"/>
      <c r="H1082" s="12"/>
      <c r="I1082" s="14"/>
    </row>
    <row r="1083" spans="2:9">
      <c r="B1083" s="64"/>
      <c r="C1083" s="58"/>
      <c r="D1083" s="65"/>
      <c r="E1083" s="66"/>
      <c r="F1083" s="12"/>
      <c r="G1083" s="13"/>
      <c r="H1083" s="12"/>
      <c r="I1083" s="14"/>
    </row>
    <row r="1084" spans="2:9">
      <c r="B1084" s="64"/>
      <c r="C1084" s="58"/>
      <c r="D1084" s="65"/>
      <c r="E1084" s="66"/>
      <c r="F1084" s="12"/>
      <c r="G1084" s="13"/>
      <c r="H1084" s="12"/>
      <c r="I1084" s="14"/>
    </row>
    <row r="1085" spans="2:9">
      <c r="B1085" s="64"/>
      <c r="C1085" s="58"/>
      <c r="D1085" s="65"/>
      <c r="E1085" s="66"/>
      <c r="F1085" s="12"/>
      <c r="G1085" s="13"/>
      <c r="H1085" s="12"/>
      <c r="I1085" s="14"/>
    </row>
    <row r="1086" spans="2:9">
      <c r="B1086" s="64"/>
      <c r="C1086" s="58"/>
      <c r="D1086" s="65"/>
      <c r="E1086" s="66"/>
      <c r="F1086" s="12"/>
      <c r="G1086" s="13"/>
      <c r="H1086" s="12"/>
      <c r="I1086" s="14"/>
    </row>
    <row r="1087" spans="2:9">
      <c r="B1087" s="64"/>
      <c r="C1087" s="58"/>
      <c r="D1087" s="65"/>
      <c r="E1087" s="66"/>
      <c r="F1087" s="12"/>
      <c r="G1087" s="13"/>
      <c r="H1087" s="12"/>
      <c r="I1087" s="14"/>
    </row>
    <row r="1088" spans="2:9">
      <c r="B1088" s="64"/>
      <c r="C1088" s="58"/>
      <c r="D1088" s="65"/>
      <c r="E1088" s="66"/>
      <c r="F1088" s="12"/>
      <c r="G1088" s="13"/>
      <c r="H1088" s="12"/>
      <c r="I1088" s="14"/>
    </row>
    <row r="1089" spans="2:9">
      <c r="B1089" s="64"/>
      <c r="C1089" s="58"/>
      <c r="D1089" s="65"/>
      <c r="E1089" s="66"/>
      <c r="F1089" s="12"/>
      <c r="G1089" s="13"/>
      <c r="H1089" s="12"/>
      <c r="I1089" s="14"/>
    </row>
    <row r="1090" spans="2:9">
      <c r="B1090" s="64"/>
      <c r="C1090" s="58"/>
      <c r="D1090" s="65"/>
      <c r="E1090" s="66"/>
      <c r="F1090" s="12"/>
      <c r="G1090" s="13"/>
      <c r="H1090" s="12"/>
      <c r="I1090" s="14"/>
    </row>
    <row r="1091" spans="2:9">
      <c r="B1091" s="64"/>
      <c r="C1091" s="58"/>
      <c r="D1091" s="65"/>
      <c r="E1091" s="66"/>
      <c r="F1091" s="12"/>
      <c r="G1091" s="13"/>
      <c r="H1091" s="12"/>
      <c r="I1091" s="14"/>
    </row>
    <row r="1092" spans="2:9">
      <c r="B1092" s="64"/>
      <c r="C1092" s="58"/>
      <c r="D1092" s="65"/>
      <c r="E1092" s="66"/>
      <c r="F1092" s="12"/>
      <c r="G1092" s="13"/>
      <c r="H1092" s="12"/>
      <c r="I1092" s="14"/>
    </row>
    <row r="1093" spans="2:9">
      <c r="B1093" s="64"/>
      <c r="C1093" s="58"/>
      <c r="D1093" s="65"/>
      <c r="E1093" s="66"/>
      <c r="F1093" s="12"/>
      <c r="G1093" s="13"/>
      <c r="H1093" s="12"/>
      <c r="I1093" s="14"/>
    </row>
    <row r="1094" spans="2:9">
      <c r="B1094" s="64"/>
      <c r="C1094" s="58"/>
      <c r="D1094" s="65"/>
      <c r="E1094" s="66"/>
      <c r="F1094" s="12"/>
      <c r="G1094" s="13"/>
      <c r="H1094" s="12"/>
      <c r="I1094" s="14"/>
    </row>
    <row r="1095" spans="2:9">
      <c r="B1095" s="64"/>
      <c r="C1095" s="58"/>
      <c r="D1095" s="65"/>
      <c r="E1095" s="66"/>
      <c r="F1095" s="12"/>
      <c r="G1095" s="13"/>
      <c r="H1095" s="12"/>
      <c r="I1095" s="14"/>
    </row>
    <row r="1096" spans="2:9">
      <c r="B1096" s="64"/>
      <c r="C1096" s="58"/>
      <c r="D1096" s="65"/>
      <c r="E1096" s="66"/>
      <c r="F1096" s="12"/>
      <c r="G1096" s="13"/>
      <c r="H1096" s="12"/>
      <c r="I1096" s="14"/>
    </row>
    <row r="1097" spans="2:9">
      <c r="B1097" s="64"/>
      <c r="C1097" s="58"/>
      <c r="D1097" s="65"/>
      <c r="E1097" s="66"/>
      <c r="F1097" s="12"/>
      <c r="G1097" s="13"/>
      <c r="H1097" s="12"/>
      <c r="I1097" s="14"/>
    </row>
  </sheetData>
  <customSheetViews>
    <customSheetView guid="{1E771DD3-AE5B-4AE7-AC87-5961F6E9353A}" filter="1" showAutoFilter="1">
      <pageMargins left="0.7" right="0.7" top="0.75" bottom="0.75" header="0.3" footer="0.3"/>
      <autoFilter ref="B1:E990"/>
    </customSheetView>
  </customSheetViews>
  <mergeCells count="1">
    <mergeCell ref="G1:H1"/>
  </mergeCells>
  <conditionalFormatting sqref="A1">
    <cfRule type="notContainsBlanks" dxfId="0" priority="1">
      <formula>LEN(TRIM(A1))&gt;0</formula>
    </cfRule>
  </conditionalFormatting>
  <dataValidations count="4">
    <dataValidation type="list" allowBlank="1" showErrorMessage="1" sqref="D762:D977">
      <formula1>"ВЕТ,СП,ЭКС,МСХП,МСР,МА,ПК,ВЕТЛАБ"</formula1>
    </dataValidation>
    <dataValidation type="list" allowBlank="1" showErrorMessage="1" sqref="D2:D530">
      <formula1>"ВЕТ,ТППЖП,ЭКС,МСХП,МСР,МА,ПК"</formula1>
    </dataValidation>
    <dataValidation type="list" allowBlank="1" showErrorMessage="1" sqref="D531:D761">
      <formula1>"ВЕТ,ТППЖП,ЭКС,МСХП,МСР,МА,ПК,ВЕТЛАБ"</formula1>
    </dataValidation>
    <dataValidation type="list" allowBlank="1" showErrorMessage="1" sqref="E2:E977">
      <formula1>"копия,оригинал,оригинал 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/>
  </sheetViews>
  <sheetFormatPr defaultColWidth="14.42578125" defaultRowHeight="15" customHeight="1"/>
  <cols>
    <col min="1" max="1" width="8.5703125" customWidth="1"/>
    <col min="2" max="2" width="25.28515625" customWidth="1"/>
    <col min="3" max="3" width="19.140625" customWidth="1"/>
    <col min="4" max="4" width="12.42578125" hidden="1" customWidth="1"/>
    <col min="5" max="5" width="16.570312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9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792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793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794</v>
      </c>
      <c r="B6" s="18" t="s">
        <v>795</v>
      </c>
      <c r="C6" s="16" t="s">
        <v>796</v>
      </c>
      <c r="D6" s="5"/>
      <c r="E6" s="16" t="s">
        <v>797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IFERROR(__xludf.DUMMYFUNCTION("FILTER(Inbox_Data!F2:I1004,Inbox_Data!H2:H1004=""ВЕТЛАБ"")"),"Чуркина Д.")</f>
        <v>Чуркина Д.</v>
      </c>
      <c r="C7" s="23">
        <f ca="1">IFERROR(__xludf.DUMMYFUNCTION("""COMPUTED_VALUE"""),4.85)</f>
        <v>4.8499999999999996</v>
      </c>
      <c r="D7" s="20" t="str">
        <f ca="1">IFERROR(__xludf.DUMMYFUNCTION("""COMPUTED_VALUE"""),"ВЕТЛАБ")</f>
        <v>ВЕТЛАБ</v>
      </c>
      <c r="E7" s="20" t="str">
        <f ca="1">IFERROR(__xludf.DUMMYFUNCTION("""COMPUTED_VALUE"""),"оригинал ")</f>
        <v xml:space="preserve">оригинал 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IFERROR(__xludf.DUMMYFUNCTION("""COMPUTED_VALUE"""),"Фасхуддинова К.")</f>
        <v>Фасхуддинова К.</v>
      </c>
      <c r="C8" s="23">
        <f ca="1">IFERROR(__xludf.DUMMYFUNCTION("""COMPUTED_VALUE"""),4.66)</f>
        <v>4.66</v>
      </c>
      <c r="D8" s="20" t="str">
        <f ca="1">IFERROR(__xludf.DUMMYFUNCTION("""COMPUTED_VALUE"""),"ВЕТЛАБ")</f>
        <v>ВЕТЛАБ</v>
      </c>
      <c r="E8" s="20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IFERROR(__xludf.DUMMYFUNCTION("""COMPUTED_VALUE"""),"Моисеева Е.")</f>
        <v>Моисеева Е.</v>
      </c>
      <c r="C9" s="22">
        <f ca="1">IFERROR(__xludf.DUMMYFUNCTION("""COMPUTED_VALUE"""),4.53)</f>
        <v>4.53</v>
      </c>
      <c r="D9" s="20" t="str">
        <f ca="1">IFERROR(__xludf.DUMMYFUNCTION("""COMPUTED_VALUE"""),"ВЕТЛАБ")</f>
        <v>ВЕТЛАБ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IFERROR(__xludf.DUMMYFUNCTION("""COMPUTED_VALUE"""),"Михайличенко Е. А.")</f>
        <v>Михайличенко Е. А.</v>
      </c>
      <c r="C10" s="22">
        <f ca="1">IFERROR(__xludf.DUMMYFUNCTION("""COMPUTED_VALUE"""),4.53)</f>
        <v>4.53</v>
      </c>
      <c r="D10" s="20" t="str">
        <f ca="1">IFERROR(__xludf.DUMMYFUNCTION("""COMPUTED_VALUE"""),"ВЕТЛАБ")</f>
        <v>ВЕТЛАБ</v>
      </c>
      <c r="E10" s="20" t="str">
        <f ca="1">IFERROR(__xludf.DUMMYFUNCTION("""COMPUTED_VALUE"""),"копия")</f>
        <v>копия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IFERROR(__xludf.DUMMYFUNCTION("""COMPUTED_VALUE"""),"Галева Д.")</f>
        <v>Галева Д.</v>
      </c>
      <c r="C11" s="22">
        <f ca="1">IFERROR(__xludf.DUMMYFUNCTION("""COMPUTED_VALUE"""),4.41)</f>
        <v>4.41</v>
      </c>
      <c r="D11" s="20" t="str">
        <f ca="1">IFERROR(__xludf.DUMMYFUNCTION("""COMPUTED_VALUE"""),"ВЕТЛАБ")</f>
        <v>ВЕТЛАБ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IFERROR(__xludf.DUMMYFUNCTION("""COMPUTED_VALUE"""),"Терентьева Т.")</f>
        <v>Терентьева Т.</v>
      </c>
      <c r="C12" s="23">
        <f ca="1">IFERROR(__xludf.DUMMYFUNCTION("""COMPUTED_VALUE"""),4.36)</f>
        <v>4.3600000000000003</v>
      </c>
      <c r="D12" s="20" t="str">
        <f ca="1">IFERROR(__xludf.DUMMYFUNCTION("""COMPUTED_VALUE"""),"ВЕТЛАБ")</f>
        <v>ВЕТЛАБ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 t="str">
        <f ca="1">IFERROR(__xludf.DUMMYFUNCTION("""COMPUTED_VALUE"""),"Осипова Е. А.")</f>
        <v>Осипова Е. А.</v>
      </c>
      <c r="C13" s="22">
        <f ca="1">IFERROR(__xludf.DUMMYFUNCTION("""COMPUTED_VALUE"""),4.28)</f>
        <v>4.28</v>
      </c>
      <c r="D13" s="20" t="str">
        <f ca="1">IFERROR(__xludf.DUMMYFUNCTION("""COMPUTED_VALUE"""),"ВЕТЛАБ")</f>
        <v>ВЕТЛАБ</v>
      </c>
      <c r="E13" s="20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 t="str">
        <f ca="1">IFERROR(__xludf.DUMMYFUNCTION("""COMPUTED_VALUE"""),"Есева В.")</f>
        <v>Есева В.</v>
      </c>
      <c r="C14" s="23">
        <f ca="1">IFERROR(__xludf.DUMMYFUNCTION("""COMPUTED_VALUE"""),4.26)</f>
        <v>4.26</v>
      </c>
      <c r="D14" s="20" t="str">
        <f ca="1">IFERROR(__xludf.DUMMYFUNCTION("""COMPUTED_VALUE"""),"ВЕТЛАБ")</f>
        <v>ВЕТЛАБ</v>
      </c>
      <c r="E14" s="20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 t="str">
        <f ca="1">IFERROR(__xludf.DUMMYFUNCTION("""COMPUTED_VALUE"""),"Высоцкая Д.Ю.")</f>
        <v>Высоцкая Д.Ю.</v>
      </c>
      <c r="C15" s="22">
        <f ca="1">IFERROR(__xludf.DUMMYFUNCTION("""COMPUTED_VALUE"""),4.25)</f>
        <v>4.25</v>
      </c>
      <c r="D15" s="20" t="str">
        <f ca="1">IFERROR(__xludf.DUMMYFUNCTION("""COMPUTED_VALUE"""),"ВЕТЛАБ")</f>
        <v>ВЕТЛАБ</v>
      </c>
      <c r="E15" s="20" t="str">
        <f ca="1">IFERROR(__xludf.DUMMYFUNCTION("""COMPUTED_VALUE"""),"копия")</f>
        <v>копия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 t="str">
        <f ca="1">IFERROR(__xludf.DUMMYFUNCTION("""COMPUTED_VALUE"""),"Напалкова В. С.")</f>
        <v>Напалкова В. С.</v>
      </c>
      <c r="C16" s="22">
        <f ca="1">IFERROR(__xludf.DUMMYFUNCTION("""COMPUTED_VALUE"""),4.22)</f>
        <v>4.22</v>
      </c>
      <c r="D16" s="20" t="str">
        <f ca="1">IFERROR(__xludf.DUMMYFUNCTION("""COMPUTED_VALUE"""),"ВЕТЛАБ")</f>
        <v>ВЕТЛАБ</v>
      </c>
      <c r="E16" s="20" t="str">
        <f ca="1">IFERROR(__xludf.DUMMYFUNCTION("""COMPUTED_VALUE"""),"оригинал")</f>
        <v>оригинал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 t="str">
        <f ca="1">IFERROR(__xludf.DUMMYFUNCTION("""COMPUTED_VALUE"""),"Вирясова П.")</f>
        <v>Вирясова П.</v>
      </c>
      <c r="C17" s="23">
        <f ca="1">IFERROR(__xludf.DUMMYFUNCTION("""COMPUTED_VALUE"""),4.21)</f>
        <v>4.21</v>
      </c>
      <c r="D17" s="20" t="str">
        <f ca="1">IFERROR(__xludf.DUMMYFUNCTION("""COMPUTED_VALUE"""),"ВЕТЛАБ")</f>
        <v>ВЕТЛАБ</v>
      </c>
      <c r="E17" s="20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0" t="str">
        <f ca="1">IFERROR(__xludf.DUMMYFUNCTION("""COMPUTED_VALUE"""),"Фасхутдинова К.")</f>
        <v>Фасхутдинова К.</v>
      </c>
      <c r="C18" s="22">
        <f ca="1">IFERROR(__xludf.DUMMYFUNCTION("""COMPUTED_VALUE"""),4.16)</f>
        <v>4.16</v>
      </c>
      <c r="D18" s="20" t="str">
        <f ca="1">IFERROR(__xludf.DUMMYFUNCTION("""COMPUTED_VALUE"""),"ВЕТЛАБ")</f>
        <v>ВЕТЛАБ</v>
      </c>
      <c r="E18" s="20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0" t="str">
        <f ca="1">IFERROR(__xludf.DUMMYFUNCTION("""COMPUTED_VALUE"""),"Габов А.")</f>
        <v>Габов А.</v>
      </c>
      <c r="C19" s="22">
        <f ca="1">IFERROR(__xludf.DUMMYFUNCTION("""COMPUTED_VALUE"""),4.12)</f>
        <v>4.12</v>
      </c>
      <c r="D19" s="20" t="str">
        <f ca="1">IFERROR(__xludf.DUMMYFUNCTION("""COMPUTED_VALUE"""),"ВЕТЛАБ")</f>
        <v>ВЕТЛАБ</v>
      </c>
      <c r="E19" s="20" t="str">
        <f ca="1">IFERROR(__xludf.DUMMYFUNCTION("""COMPUTED_VALUE"""),"копия")</f>
        <v>копия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0" t="str">
        <f ca="1">IFERROR(__xludf.DUMMYFUNCTION("""COMPUTED_VALUE"""),"Рогова М.")</f>
        <v>Рогова М.</v>
      </c>
      <c r="C20" s="20">
        <f ca="1">IFERROR(__xludf.DUMMYFUNCTION("""COMPUTED_VALUE"""),4.1)</f>
        <v>4.0999999999999996</v>
      </c>
      <c r="D20" s="20" t="str">
        <f ca="1">IFERROR(__xludf.DUMMYFUNCTION("""COMPUTED_VALUE"""),"ВЕТЛАБ")</f>
        <v>ВЕТЛАБ</v>
      </c>
      <c r="E20" s="20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0" t="str">
        <f ca="1">IFERROR(__xludf.DUMMYFUNCTION("""COMPUTED_VALUE"""),"Момотова В.")</f>
        <v>Момотова В.</v>
      </c>
      <c r="C21" s="20">
        <f ca="1">IFERROR(__xludf.DUMMYFUNCTION("""COMPUTED_VALUE"""),4.1)</f>
        <v>4.0999999999999996</v>
      </c>
      <c r="D21" s="20" t="str">
        <f ca="1">IFERROR(__xludf.DUMMYFUNCTION("""COMPUTED_VALUE"""),"ВЕТЛАБ")</f>
        <v>ВЕТЛАБ</v>
      </c>
      <c r="E21" s="20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0" t="str">
        <f ca="1">IFERROR(__xludf.DUMMYFUNCTION("""COMPUTED_VALUE"""),"Колипова Л.")</f>
        <v>Колипова Л.</v>
      </c>
      <c r="C22" s="20">
        <f ca="1">IFERROR(__xludf.DUMMYFUNCTION("""COMPUTED_VALUE"""),4.05)</f>
        <v>4.05</v>
      </c>
      <c r="D22" s="20" t="str">
        <f ca="1">IFERROR(__xludf.DUMMYFUNCTION("""COMPUTED_VALUE"""),"ВЕТЛАБ")</f>
        <v>ВЕТЛАБ</v>
      </c>
      <c r="E22" s="20" t="str">
        <f ca="1">IFERROR(__xludf.DUMMYFUNCTION("""COMPUTED_VALUE"""),"копия")</f>
        <v>копия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0" t="str">
        <f ca="1">IFERROR(__xludf.DUMMYFUNCTION("""COMPUTED_VALUE"""),"Денисов В")</f>
        <v>Денисов В</v>
      </c>
      <c r="C23" s="20">
        <f ca="1">IFERROR(__xludf.DUMMYFUNCTION("""COMPUTED_VALUE"""),4.05)</f>
        <v>4.05</v>
      </c>
      <c r="D23" s="20" t="str">
        <f ca="1">IFERROR(__xludf.DUMMYFUNCTION("""COMPUTED_VALUE"""),"ВЕТЛАБ")</f>
        <v>ВЕТЛАБ</v>
      </c>
      <c r="E23" s="20" t="str">
        <f ca="1">IFERROR(__xludf.DUMMYFUNCTION("""COMPUTED_VALUE"""),"копия")</f>
        <v>копия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0" t="str">
        <f ca="1">IFERROR(__xludf.DUMMYFUNCTION("""COMPUTED_VALUE"""),"Игнатов С.")</f>
        <v>Игнатов С.</v>
      </c>
      <c r="C24" s="20">
        <f ca="1">IFERROR(__xludf.DUMMYFUNCTION("""COMPUTED_VALUE"""),4.05)</f>
        <v>4.05</v>
      </c>
      <c r="D24" s="20" t="str">
        <f ca="1">IFERROR(__xludf.DUMMYFUNCTION("""COMPUTED_VALUE"""),"ВЕТЛАБ")</f>
        <v>ВЕТЛАБ</v>
      </c>
      <c r="E24" s="20" t="str">
        <f ca="1">IFERROR(__xludf.DUMMYFUNCTION("""COMPUTED_VALUE"""),"копия")</f>
        <v>копия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19" t="str">
        <f ca="1">IFERROR(__xludf.DUMMYFUNCTION("""COMPUTED_VALUE"""),"Пешкин Я.")</f>
        <v>Пешкин Я.</v>
      </c>
      <c r="C25" s="23">
        <f ca="1">IFERROR(__xludf.DUMMYFUNCTION("""COMPUTED_VALUE"""),4.05)</f>
        <v>4.05</v>
      </c>
      <c r="D25" s="20" t="str">
        <f ca="1">IFERROR(__xludf.DUMMYFUNCTION("""COMPUTED_VALUE"""),"ВЕТЛАБ")</f>
        <v>ВЕТЛАБ</v>
      </c>
      <c r="E25" s="20" t="str">
        <f ca="1">IFERROR(__xludf.DUMMYFUNCTION("""COMPUTED_VALUE"""),"копия")</f>
        <v>копия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19" t="str">
        <f ca="1">IFERROR(__xludf.DUMMYFUNCTION("""COMPUTED_VALUE"""),"Попов А.")</f>
        <v>Попов А.</v>
      </c>
      <c r="C26" s="22">
        <f ca="1">IFERROR(__xludf.DUMMYFUNCTION("""COMPUTED_VALUE"""),4.05)</f>
        <v>4.05</v>
      </c>
      <c r="D26" s="20" t="str">
        <f ca="1">IFERROR(__xludf.DUMMYFUNCTION("""COMPUTED_VALUE"""),"ВЕТЛАБ")</f>
        <v>ВЕТЛАБ</v>
      </c>
      <c r="E26" s="20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19" t="str">
        <f ca="1">IFERROR(__xludf.DUMMYFUNCTION("""COMPUTED_VALUE"""),"Тоинов А.")</f>
        <v>Тоинов А.</v>
      </c>
      <c r="C27" s="23">
        <f ca="1">IFERROR(__xludf.DUMMYFUNCTION("""COMPUTED_VALUE"""),4)</f>
        <v>4</v>
      </c>
      <c r="D27" s="20" t="str">
        <f ca="1">IFERROR(__xludf.DUMMYFUNCTION("""COMPUTED_VALUE"""),"ВЕТЛАБ")</f>
        <v>ВЕТЛАБ</v>
      </c>
      <c r="E27" s="20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19" t="str">
        <f ca="1">IFERROR(__xludf.DUMMYFUNCTION("""COMPUTED_VALUE"""),"Уляшев Б.")</f>
        <v>Уляшев Б.</v>
      </c>
      <c r="C28" s="22">
        <f ca="1">IFERROR(__xludf.DUMMYFUNCTION("""COMPUTED_VALUE"""),4)</f>
        <v>4</v>
      </c>
      <c r="D28" s="20" t="str">
        <f ca="1">IFERROR(__xludf.DUMMYFUNCTION("""COMPUTED_VALUE"""),"ВЕТЛАБ")</f>
        <v>ВЕТЛАБ</v>
      </c>
      <c r="E28" s="20" t="str">
        <f ca="1">IFERROR(__xludf.DUMMYFUNCTION("""COMPUTED_VALUE"""),"оригинал")</f>
        <v>оригинал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19" t="str">
        <f ca="1">IFERROR(__xludf.DUMMYFUNCTION("""COMPUTED_VALUE"""),"Имеле С.")</f>
        <v>Имеле С.</v>
      </c>
      <c r="C29" s="23">
        <f ca="1">IFERROR(__xludf.DUMMYFUNCTION("""COMPUTED_VALUE"""),3.95)</f>
        <v>3.95</v>
      </c>
      <c r="D29" s="20" t="str">
        <f ca="1">IFERROR(__xludf.DUMMYFUNCTION("""COMPUTED_VALUE"""),"ВЕТЛАБ")</f>
        <v>ВЕТЛАБ</v>
      </c>
      <c r="E29" s="20" t="str">
        <f ca="1">IFERROR(__xludf.DUMMYFUNCTION("""COMPUTED_VALUE"""),"копия")</f>
        <v>копия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9">
        <v>24</v>
      </c>
      <c r="B30" s="19" t="str">
        <f ca="1">IFERROR(__xludf.DUMMYFUNCTION("""COMPUTED_VALUE"""),"Фролова А.А.")</f>
        <v>Фролова А.А.</v>
      </c>
      <c r="C30" s="22">
        <f ca="1">IFERROR(__xludf.DUMMYFUNCTION("""COMPUTED_VALUE"""),3.95)</f>
        <v>3.95</v>
      </c>
      <c r="D30" s="20" t="str">
        <f ca="1">IFERROR(__xludf.DUMMYFUNCTION("""COMPUTED_VALUE"""),"ВЕТЛАБ")</f>
        <v>ВЕТЛАБ</v>
      </c>
      <c r="E30" s="20" t="str">
        <f ca="1">IFERROR(__xludf.DUMMYFUNCTION("""COMPUTED_VALUE"""),"копия")</f>
        <v>копия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9">
        <v>25</v>
      </c>
      <c r="B31" s="19" t="str">
        <f ca="1">IFERROR(__xludf.DUMMYFUNCTION("""COMPUTED_VALUE"""),"Малкова Я.")</f>
        <v>Малкова Я.</v>
      </c>
      <c r="C31" s="23">
        <f ca="1">IFERROR(__xludf.DUMMYFUNCTION("""COMPUTED_VALUE"""),3.94)</f>
        <v>3.94</v>
      </c>
      <c r="D31" s="20" t="str">
        <f ca="1">IFERROR(__xludf.DUMMYFUNCTION("""COMPUTED_VALUE"""),"ВЕТЛАБ")</f>
        <v>ВЕТЛАБ</v>
      </c>
      <c r="E31" s="20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9">
        <v>26</v>
      </c>
      <c r="B32" s="19" t="str">
        <f ca="1">IFERROR(__xludf.DUMMYFUNCTION("""COMPUTED_VALUE"""),"Дадуткина Э.")</f>
        <v>Дадуткина Э.</v>
      </c>
      <c r="C32" s="23">
        <f ca="1">IFERROR(__xludf.DUMMYFUNCTION("""COMPUTED_VALUE"""),3.94)</f>
        <v>3.94</v>
      </c>
      <c r="D32" s="20" t="str">
        <f ca="1">IFERROR(__xludf.DUMMYFUNCTION("""COMPUTED_VALUE"""),"ВЕТЛАБ")</f>
        <v>ВЕТЛАБ</v>
      </c>
      <c r="E32" s="20" t="str">
        <f ca="1">IFERROR(__xludf.DUMMYFUNCTION("""COMPUTED_VALUE"""),"копия")</f>
        <v>копия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19">
        <v>27</v>
      </c>
      <c r="B33" s="19" t="str">
        <f ca="1">IFERROR(__xludf.DUMMYFUNCTION("""COMPUTED_VALUE"""),"Шахова С.")</f>
        <v>Шахова С.</v>
      </c>
      <c r="C33" s="20">
        <f ca="1">IFERROR(__xludf.DUMMYFUNCTION("""COMPUTED_VALUE"""),3.9)</f>
        <v>3.9</v>
      </c>
      <c r="D33" s="20" t="str">
        <f ca="1">IFERROR(__xludf.DUMMYFUNCTION("""COMPUTED_VALUE"""),"ВЕТЛАБ")</f>
        <v>ВЕТЛАБ</v>
      </c>
      <c r="E33" s="20" t="str">
        <f ca="1">IFERROR(__xludf.DUMMYFUNCTION("""COMPUTED_VALUE"""),"копия")</f>
        <v>копия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>
      <c r="A34" s="19">
        <v>28</v>
      </c>
      <c r="B34" s="19" t="str">
        <f ca="1">IFERROR(__xludf.DUMMYFUNCTION("""COMPUTED_VALUE"""),"Юрченко Д.")</f>
        <v>Юрченко Д.</v>
      </c>
      <c r="C34" s="20">
        <f ca="1">IFERROR(__xludf.DUMMYFUNCTION("""COMPUTED_VALUE"""),3.9)</f>
        <v>3.9</v>
      </c>
      <c r="D34" s="20" t="str">
        <f ca="1">IFERROR(__xludf.DUMMYFUNCTION("""COMPUTED_VALUE"""),"ВЕТЛАБ")</f>
        <v>ВЕТЛАБ</v>
      </c>
      <c r="E34" s="20" t="str">
        <f ca="1">IFERROR(__xludf.DUMMYFUNCTION("""COMPUTED_VALUE"""),"оригинал ")</f>
        <v xml:space="preserve">оригинал 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>
      <c r="A35" s="19">
        <v>29</v>
      </c>
      <c r="B35" s="19" t="str">
        <f ca="1">IFERROR(__xludf.DUMMYFUNCTION("""COMPUTED_VALUE"""),"Колыгина К.")</f>
        <v>Колыгина К.</v>
      </c>
      <c r="C35" s="23">
        <f ca="1">IFERROR(__xludf.DUMMYFUNCTION("""COMPUTED_VALUE"""),3.89)</f>
        <v>3.89</v>
      </c>
      <c r="D35" s="20" t="str">
        <f ca="1">IFERROR(__xludf.DUMMYFUNCTION("""COMPUTED_VALUE"""),"ВЕТЛАБ")</f>
        <v>ВЕТЛАБ</v>
      </c>
      <c r="E35" s="20" t="str">
        <f ca="1">IFERROR(__xludf.DUMMYFUNCTION("""COMPUTED_VALUE"""),"копия")</f>
        <v>копия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>
      <c r="A36" s="19">
        <v>30</v>
      </c>
      <c r="B36" s="19" t="str">
        <f ca="1">IFERROR(__xludf.DUMMYFUNCTION("""COMPUTED_VALUE"""),"Павлова К.")</f>
        <v>Павлова К.</v>
      </c>
      <c r="C36" s="23">
        <f ca="1">IFERROR(__xludf.DUMMYFUNCTION("""COMPUTED_VALUE"""),3.89)</f>
        <v>3.89</v>
      </c>
      <c r="D36" s="20" t="str">
        <f ca="1">IFERROR(__xludf.DUMMYFUNCTION("""COMPUTED_VALUE"""),"ВЕТЛАБ")</f>
        <v>ВЕТЛАБ</v>
      </c>
      <c r="E36" s="20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>
      <c r="A37" s="19">
        <v>31</v>
      </c>
      <c r="B37" s="19" t="str">
        <f ca="1">IFERROR(__xludf.DUMMYFUNCTION("""COMPUTED_VALUE"""),"Рябова Д.")</f>
        <v>Рябова Д.</v>
      </c>
      <c r="C37" s="22">
        <f ca="1">IFERROR(__xludf.DUMMYFUNCTION("""COMPUTED_VALUE"""),3.89)</f>
        <v>3.89</v>
      </c>
      <c r="D37" s="20" t="str">
        <f ca="1">IFERROR(__xludf.DUMMYFUNCTION("""COMPUTED_VALUE"""),"ВЕТЛАБ")</f>
        <v>ВЕТЛАБ</v>
      </c>
      <c r="E37" s="20" t="str">
        <f ca="1">IFERROR(__xludf.DUMMYFUNCTION("""COMPUTED_VALUE"""),"оригинал ")</f>
        <v xml:space="preserve">оригинал 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6" ht="13.5" customHeight="1">
      <c r="A38" s="19">
        <v>32</v>
      </c>
      <c r="B38" s="19" t="str">
        <f ca="1">IFERROR(__xludf.DUMMYFUNCTION("""COMPUTED_VALUE"""),"Есева С.Н.")</f>
        <v>Есева С.Н.</v>
      </c>
      <c r="C38" s="22">
        <f ca="1">IFERROR(__xludf.DUMMYFUNCTION("""COMPUTED_VALUE"""),3.89)</f>
        <v>3.89</v>
      </c>
      <c r="D38" s="20" t="str">
        <f ca="1">IFERROR(__xludf.DUMMYFUNCTION("""COMPUTED_VALUE"""),"ВЕТЛАБ")</f>
        <v>ВЕТЛАБ</v>
      </c>
      <c r="E38" s="20" t="str">
        <f ca="1">IFERROR(__xludf.DUMMYFUNCTION("""COMPUTED_VALUE"""),"оригинал")</f>
        <v>оригинал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6" ht="13.5" customHeight="1">
      <c r="A39" s="19">
        <v>33</v>
      </c>
      <c r="B39" s="19" t="str">
        <f ca="1">IFERROR(__xludf.DUMMYFUNCTION("""COMPUTED_VALUE"""),"Таранова А.")</f>
        <v>Таранова А.</v>
      </c>
      <c r="C39" s="23">
        <f ca="1">IFERROR(__xludf.DUMMYFUNCTION("""COMPUTED_VALUE"""),3.88)</f>
        <v>3.88</v>
      </c>
      <c r="D39" s="20" t="str">
        <f ca="1">IFERROR(__xludf.DUMMYFUNCTION("""COMPUTED_VALUE"""),"ВЕТЛАБ")</f>
        <v>ВЕТЛАБ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6" ht="13.5" customHeight="1">
      <c r="A40" s="19">
        <v>34</v>
      </c>
      <c r="B40" s="19" t="str">
        <f ca="1">IFERROR(__xludf.DUMMYFUNCTION("""COMPUTED_VALUE"""),"Южина И.")</f>
        <v>Южина И.</v>
      </c>
      <c r="C40" s="22">
        <f ca="1">IFERROR(__xludf.DUMMYFUNCTION("""COMPUTED_VALUE"""),3.88)</f>
        <v>3.88</v>
      </c>
      <c r="D40" s="20" t="str">
        <f ca="1">IFERROR(__xludf.DUMMYFUNCTION("""COMPUTED_VALUE"""),"ВЕТЛАБ")</f>
        <v>ВЕТЛАБ</v>
      </c>
      <c r="E40" s="20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6" ht="13.5" customHeight="1">
      <c r="A41" s="19">
        <v>35</v>
      </c>
      <c r="B41" s="19" t="str">
        <f ca="1">IFERROR(__xludf.DUMMYFUNCTION("""COMPUTED_VALUE"""),"Черниговец П.")</f>
        <v>Черниговец П.</v>
      </c>
      <c r="C41" s="22">
        <f ca="1">IFERROR(__xludf.DUMMYFUNCTION("""COMPUTED_VALUE"""),3.85)</f>
        <v>3.85</v>
      </c>
      <c r="D41" s="20" t="str">
        <f ca="1">IFERROR(__xludf.DUMMYFUNCTION("""COMPUTED_VALUE"""),"ВЕТЛАБ")</f>
        <v>ВЕТЛАБ</v>
      </c>
      <c r="E41" s="20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6" ht="13.5" customHeight="1">
      <c r="A42" s="19">
        <v>36</v>
      </c>
      <c r="B42" s="19" t="str">
        <f ca="1">IFERROR(__xludf.DUMMYFUNCTION("""COMPUTED_VALUE"""),"Панов В.")</f>
        <v>Панов В.</v>
      </c>
      <c r="C42" s="23">
        <f ca="1">IFERROR(__xludf.DUMMYFUNCTION("""COMPUTED_VALUE"""),3.84)</f>
        <v>3.84</v>
      </c>
      <c r="D42" s="20" t="str">
        <f ca="1">IFERROR(__xludf.DUMMYFUNCTION("""COMPUTED_VALUE"""),"ВЕТЛАБ")</f>
        <v>ВЕТЛАБ</v>
      </c>
      <c r="E42" s="20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6" ht="13.5" customHeight="1">
      <c r="A43" s="19">
        <v>37</v>
      </c>
      <c r="B43" s="19" t="str">
        <f ca="1">IFERROR(__xludf.DUMMYFUNCTION("""COMPUTED_VALUE"""),"Фадеева К.")</f>
        <v>Фадеева К.</v>
      </c>
      <c r="C43" s="23">
        <f ca="1">IFERROR(__xludf.DUMMYFUNCTION("""COMPUTED_VALUE"""),3.84)</f>
        <v>3.84</v>
      </c>
      <c r="D43" s="20" t="str">
        <f ca="1">IFERROR(__xludf.DUMMYFUNCTION("""COMPUTED_VALUE"""),"ВЕТЛАБ")</f>
        <v>ВЕТЛАБ</v>
      </c>
      <c r="E43" s="20" t="str">
        <f ca="1">IFERROR(__xludf.DUMMYFUNCTION("""COMPUTED_VALUE"""),"копия")</f>
        <v>копия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6" ht="13.5" customHeight="1">
      <c r="A44" s="19">
        <v>38</v>
      </c>
      <c r="B44" s="19" t="str">
        <f ca="1">IFERROR(__xludf.DUMMYFUNCTION("""COMPUTED_VALUE"""),"Готовчиц В.М.")</f>
        <v>Готовчиц В.М.</v>
      </c>
      <c r="C44" s="22">
        <f ca="1">IFERROR(__xludf.DUMMYFUNCTION("""COMPUTED_VALUE"""),3.84)</f>
        <v>3.84</v>
      </c>
      <c r="D44" s="20" t="str">
        <f ca="1">IFERROR(__xludf.DUMMYFUNCTION("""COMPUTED_VALUE"""),"ВЕТЛАБ")</f>
        <v>ВЕТЛАБ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6" ht="13.5" customHeight="1">
      <c r="A45" s="19">
        <v>39</v>
      </c>
      <c r="B45" s="19" t="str">
        <f ca="1">IFERROR(__xludf.DUMMYFUNCTION("""COMPUTED_VALUE"""),"Мелехина В. Н.")</f>
        <v>Мелехина В. Н.</v>
      </c>
      <c r="C45" s="22">
        <f ca="1">IFERROR(__xludf.DUMMYFUNCTION("""COMPUTED_VALUE"""),3.84)</f>
        <v>3.84</v>
      </c>
      <c r="D45" s="20" t="str">
        <f ca="1">IFERROR(__xludf.DUMMYFUNCTION("""COMPUTED_VALUE"""),"ВЕТЛАБ")</f>
        <v>ВЕТЛАБ</v>
      </c>
      <c r="E45" s="20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6" ht="13.5" customHeight="1">
      <c r="A46" s="19">
        <v>40</v>
      </c>
      <c r="B46" s="19" t="str">
        <f ca="1">IFERROR(__xludf.DUMMYFUNCTION("""COMPUTED_VALUE"""),"Ульянова А.")</f>
        <v>Ульянова А.</v>
      </c>
      <c r="C46" s="23">
        <f ca="1">IFERROR(__xludf.DUMMYFUNCTION("""COMPUTED_VALUE"""),3.83)</f>
        <v>3.83</v>
      </c>
      <c r="D46" s="20" t="str">
        <f ca="1">IFERROR(__xludf.DUMMYFUNCTION("""COMPUTED_VALUE"""),"ВЕТЛАБ")</f>
        <v>ВЕТЛАБ</v>
      </c>
      <c r="E46" s="20" t="str">
        <f ca="1">IFERROR(__xludf.DUMMYFUNCTION("""COMPUTED_VALUE"""),"оригинал")</f>
        <v>оригинал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6" ht="13.5" customHeight="1">
      <c r="A47" s="19">
        <v>41</v>
      </c>
      <c r="B47" s="19" t="str">
        <f ca="1">IFERROR(__xludf.DUMMYFUNCTION("""COMPUTED_VALUE"""),"Зыбина А.")</f>
        <v>Зыбина А.</v>
      </c>
      <c r="C47" s="23">
        <f ca="1">IFERROR(__xludf.DUMMYFUNCTION("""COMPUTED_VALUE"""),3.83)</f>
        <v>3.83</v>
      </c>
      <c r="D47" s="20" t="str">
        <f ca="1">IFERROR(__xludf.DUMMYFUNCTION("""COMPUTED_VALUE"""),"ВЕТЛАБ")</f>
        <v>ВЕТЛАБ</v>
      </c>
      <c r="E47" s="20" t="str">
        <f ca="1">IFERROR(__xludf.DUMMYFUNCTION("""COMPUTED_VALUE"""),"копия")</f>
        <v>копия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6" ht="13.5" customHeight="1">
      <c r="A48" s="19">
        <v>42</v>
      </c>
      <c r="B48" s="19" t="str">
        <f ca="1">IFERROR(__xludf.DUMMYFUNCTION("""COMPUTED_VALUE"""),"Бережная А.")</f>
        <v>Бережная А.</v>
      </c>
      <c r="C48" s="23">
        <f ca="1">IFERROR(__xludf.DUMMYFUNCTION("""COMPUTED_VALUE"""),3.8)</f>
        <v>3.8</v>
      </c>
      <c r="D48" s="20" t="str">
        <f ca="1">IFERROR(__xludf.DUMMYFUNCTION("""COMPUTED_VALUE"""),"ВЕТЛАБ")</f>
        <v>ВЕТЛАБ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19">
        <v>43</v>
      </c>
      <c r="B49" s="19" t="str">
        <f ca="1">IFERROR(__xludf.DUMMYFUNCTION("""COMPUTED_VALUE"""),"Яхина С.")</f>
        <v>Яхина С.</v>
      </c>
      <c r="C49" s="20">
        <f ca="1">IFERROR(__xludf.DUMMYFUNCTION("""COMPUTED_VALUE"""),3.8)</f>
        <v>3.8</v>
      </c>
      <c r="D49" s="20" t="str">
        <f ca="1">IFERROR(__xludf.DUMMYFUNCTION("""COMPUTED_VALUE"""),"ВЕТЛАБ")</f>
        <v>ВЕТЛАБ</v>
      </c>
      <c r="E49" s="20" t="str">
        <f ca="1">IFERROR(__xludf.DUMMYFUNCTION("""COMPUTED_VALUE"""),"копия")</f>
        <v>копия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19">
        <v>44</v>
      </c>
      <c r="B50" s="19" t="str">
        <f ca="1">IFERROR(__xludf.DUMMYFUNCTION("""COMPUTED_VALUE"""),"Вирясова П.")</f>
        <v>Вирясова П.</v>
      </c>
      <c r="C50" s="23">
        <f ca="1">IFERROR(__xludf.DUMMYFUNCTION("""COMPUTED_VALUE"""),3.78)</f>
        <v>3.78</v>
      </c>
      <c r="D50" s="20" t="str">
        <f ca="1">IFERROR(__xludf.DUMMYFUNCTION("""COMPUTED_VALUE"""),"ВЕТЛАБ")</f>
        <v>ВЕТЛАБ</v>
      </c>
      <c r="E50" s="20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19">
        <v>45</v>
      </c>
      <c r="B51" s="19" t="str">
        <f ca="1">IFERROR(__xludf.DUMMYFUNCTION("""COMPUTED_VALUE"""),"Томова М.")</f>
        <v>Томова М.</v>
      </c>
      <c r="C51" s="23">
        <f ca="1">IFERROR(__xludf.DUMMYFUNCTION("""COMPUTED_VALUE"""),3.78)</f>
        <v>3.78</v>
      </c>
      <c r="D51" s="20" t="str">
        <f ca="1">IFERROR(__xludf.DUMMYFUNCTION("""COMPUTED_VALUE"""),"ВЕТЛАБ")</f>
        <v>ВЕТЛАБ</v>
      </c>
      <c r="E51" s="20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19">
        <v>46</v>
      </c>
      <c r="B52" s="19" t="str">
        <f ca="1">IFERROR(__xludf.DUMMYFUNCTION("""COMPUTED_VALUE"""),"Пархачева М.")</f>
        <v>Пархачева М.</v>
      </c>
      <c r="C52" s="23">
        <f ca="1">IFERROR(__xludf.DUMMYFUNCTION("""COMPUTED_VALUE"""),3.77)</f>
        <v>3.77</v>
      </c>
      <c r="D52" s="20" t="str">
        <f ca="1">IFERROR(__xludf.DUMMYFUNCTION("""COMPUTED_VALUE"""),"ВЕТЛАБ")</f>
        <v>ВЕТЛАБ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19">
        <v>47</v>
      </c>
      <c r="B53" s="19" t="str">
        <f ca="1">IFERROR(__xludf.DUMMYFUNCTION("""COMPUTED_VALUE"""),"Рочева О.")</f>
        <v>Рочева О.</v>
      </c>
      <c r="C53" s="23">
        <f ca="1">IFERROR(__xludf.DUMMYFUNCTION("""COMPUTED_VALUE"""),3.76)</f>
        <v>3.76</v>
      </c>
      <c r="D53" s="20" t="str">
        <f ca="1">IFERROR(__xludf.DUMMYFUNCTION("""COMPUTED_VALUE"""),"ВЕТЛАБ")</f>
        <v>ВЕТЛАБ</v>
      </c>
      <c r="E53" s="20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19">
        <v>48</v>
      </c>
      <c r="B54" s="19" t="str">
        <f ca="1">IFERROR(__xludf.DUMMYFUNCTION("""COMPUTED_VALUE"""),"Касева О.")</f>
        <v>Касева О.</v>
      </c>
      <c r="C54" s="23">
        <f ca="1">IFERROR(__xludf.DUMMYFUNCTION("""COMPUTED_VALUE"""),3.75)</f>
        <v>3.75</v>
      </c>
      <c r="D54" s="20" t="str">
        <f ca="1">IFERROR(__xludf.DUMMYFUNCTION("""COMPUTED_VALUE"""),"ВЕТЛАБ")</f>
        <v>ВЕТЛАБ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19">
        <v>49</v>
      </c>
      <c r="B55" s="19" t="str">
        <f ca="1">IFERROR(__xludf.DUMMYFUNCTION("""COMPUTED_VALUE"""),"Мамонтова О. ")</f>
        <v xml:space="preserve">Мамонтова О. </v>
      </c>
      <c r="C55" s="23">
        <f ca="1">IFERROR(__xludf.DUMMYFUNCTION("""COMPUTED_VALUE"""),3.74)</f>
        <v>3.74</v>
      </c>
      <c r="D55" s="20" t="str">
        <f ca="1">IFERROR(__xludf.DUMMYFUNCTION("""COMPUTED_VALUE"""),"ВЕТЛАБ")</f>
        <v>ВЕТЛАБ</v>
      </c>
      <c r="E55" s="20" t="str">
        <f ca="1">IFERROR(__xludf.DUMMYFUNCTION("""COMPUTED_VALUE"""),"оригинал")</f>
        <v>оригинал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19">
        <v>50</v>
      </c>
      <c r="B56" s="19" t="str">
        <f ca="1">IFERROR(__xludf.DUMMYFUNCTION("""COMPUTED_VALUE"""),"Ларукова Д.")</f>
        <v>Ларукова Д.</v>
      </c>
      <c r="C56" s="22">
        <f ca="1">IFERROR(__xludf.DUMMYFUNCTION("""COMPUTED_VALUE"""),3.74)</f>
        <v>3.74</v>
      </c>
      <c r="D56" s="20" t="str">
        <f ca="1">IFERROR(__xludf.DUMMYFUNCTION("""COMPUTED_VALUE"""),"ВЕТЛАБ")</f>
        <v>ВЕТЛАБ</v>
      </c>
      <c r="E56" s="20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19">
        <v>51</v>
      </c>
      <c r="B57" s="19" t="str">
        <f ca="1">IFERROR(__xludf.DUMMYFUNCTION("""COMPUTED_VALUE"""),"Тереньтева М.")</f>
        <v>Тереньтева М.</v>
      </c>
      <c r="C57" s="23">
        <f ca="1">IFERROR(__xludf.DUMMYFUNCTION("""COMPUTED_VALUE"""),3.72)</f>
        <v>3.72</v>
      </c>
      <c r="D57" s="20" t="str">
        <f ca="1">IFERROR(__xludf.DUMMYFUNCTION("""COMPUTED_VALUE"""),"ВЕТЛАБ")</f>
        <v>ВЕТЛАБ</v>
      </c>
      <c r="E57" s="20" t="str">
        <f ca="1">IFERROR(__xludf.DUMMYFUNCTION("""COMPUTED_VALUE"""),"копия")</f>
        <v>копия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19">
        <v>52</v>
      </c>
      <c r="B58" s="19" t="str">
        <f ca="1">IFERROR(__xludf.DUMMYFUNCTION("""COMPUTED_VALUE"""),"Городова О.")</f>
        <v>Городова О.</v>
      </c>
      <c r="C58" s="23">
        <f ca="1">IFERROR(__xludf.DUMMYFUNCTION("""COMPUTED_VALUE"""),3.68)</f>
        <v>3.68</v>
      </c>
      <c r="D58" s="20" t="str">
        <f ca="1">IFERROR(__xludf.DUMMYFUNCTION("""COMPUTED_VALUE"""),"ВЕТЛАБ")</f>
        <v>ВЕТЛАБ</v>
      </c>
      <c r="E58" s="20" t="str">
        <f ca="1">IFERROR(__xludf.DUMMYFUNCTION("""COMPUTED_VALUE"""),"оригинал")</f>
        <v>оригинал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19">
        <v>53</v>
      </c>
      <c r="B59" s="19" t="str">
        <f ca="1">IFERROR(__xludf.DUMMYFUNCTION("""COMPUTED_VALUE"""),"Красова В.")</f>
        <v>Красова В.</v>
      </c>
      <c r="C59" s="23">
        <f ca="1">IFERROR(__xludf.DUMMYFUNCTION("""COMPUTED_VALUE"""),3.67)</f>
        <v>3.67</v>
      </c>
      <c r="D59" s="20" t="str">
        <f ca="1">IFERROR(__xludf.DUMMYFUNCTION("""COMPUTED_VALUE"""),"ВЕТЛАБ")</f>
        <v>ВЕТЛАБ</v>
      </c>
      <c r="E59" s="20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19">
        <v>54</v>
      </c>
      <c r="B60" s="19" t="str">
        <f ca="1">IFERROR(__xludf.DUMMYFUNCTION("""COMPUTED_VALUE"""),"Пашева В.")</f>
        <v>Пашева В.</v>
      </c>
      <c r="C60" s="23">
        <f ca="1">IFERROR(__xludf.DUMMYFUNCTION("""COMPUTED_VALUE"""),3.66)</f>
        <v>3.66</v>
      </c>
      <c r="D60" s="20" t="str">
        <f ca="1">IFERROR(__xludf.DUMMYFUNCTION("""COMPUTED_VALUE"""),"ВЕТЛАБ")</f>
        <v>ВЕТЛАБ</v>
      </c>
      <c r="E60" s="20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19">
        <v>55</v>
      </c>
      <c r="B61" s="19" t="str">
        <f ca="1">IFERROR(__xludf.DUMMYFUNCTION("""COMPUTED_VALUE"""),"Григорьева М.")</f>
        <v>Григорьева М.</v>
      </c>
      <c r="C61" s="23">
        <f ca="1">IFERROR(__xludf.DUMMYFUNCTION("""COMPUTED_VALUE"""),3.65)</f>
        <v>3.65</v>
      </c>
      <c r="D61" s="20" t="str">
        <f ca="1">IFERROR(__xludf.DUMMYFUNCTION("""COMPUTED_VALUE"""),"ВЕТЛАБ")</f>
        <v>ВЕТЛАБ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19">
        <v>56</v>
      </c>
      <c r="B62" s="19" t="str">
        <f ca="1">IFERROR(__xludf.DUMMYFUNCTION("""COMPUTED_VALUE"""),"Пунегова К.")</f>
        <v>Пунегова К.</v>
      </c>
      <c r="C62" s="22">
        <f ca="1">IFERROR(__xludf.DUMMYFUNCTION("""COMPUTED_VALUE"""),3.65)</f>
        <v>3.65</v>
      </c>
      <c r="D62" s="20" t="str">
        <f ca="1">IFERROR(__xludf.DUMMYFUNCTION("""COMPUTED_VALUE"""),"ВЕТЛАБ")</f>
        <v>ВЕТЛАБ</v>
      </c>
      <c r="E62" s="20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19">
        <v>57</v>
      </c>
      <c r="B63" s="19" t="str">
        <f ca="1">IFERROR(__xludf.DUMMYFUNCTION("""COMPUTED_VALUE"""),"Кутепова Д.")</f>
        <v>Кутепова Д.</v>
      </c>
      <c r="C63" s="23">
        <f ca="1">IFERROR(__xludf.DUMMYFUNCTION("""COMPUTED_VALUE"""),3.63)</f>
        <v>3.63</v>
      </c>
      <c r="D63" s="20" t="str">
        <f ca="1">IFERROR(__xludf.DUMMYFUNCTION("""COMPUTED_VALUE"""),"ВЕТЛАБ")</f>
        <v>ВЕТЛАБ</v>
      </c>
      <c r="E63" s="20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19">
        <v>58</v>
      </c>
      <c r="B64" s="19" t="str">
        <f ca="1">IFERROR(__xludf.DUMMYFUNCTION("""COMPUTED_VALUE"""),"Шадрин Я.")</f>
        <v>Шадрин Я.</v>
      </c>
      <c r="C64" s="22">
        <f ca="1">IFERROR(__xludf.DUMMYFUNCTION("""COMPUTED_VALUE"""),3.63)</f>
        <v>3.63</v>
      </c>
      <c r="D64" s="20" t="str">
        <f ca="1">IFERROR(__xludf.DUMMYFUNCTION("""COMPUTED_VALUE"""),"ВЕТЛАБ")</f>
        <v>ВЕТЛАБ</v>
      </c>
      <c r="E64" s="20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19">
        <v>59</v>
      </c>
      <c r="B65" s="19" t="str">
        <f ca="1">IFERROR(__xludf.DUMMYFUNCTION("""COMPUTED_VALUE"""),"Иевлева З.")</f>
        <v>Иевлева З.</v>
      </c>
      <c r="C65" s="22">
        <f ca="1">IFERROR(__xludf.DUMMYFUNCTION("""COMPUTED_VALUE"""),3.61)</f>
        <v>3.61</v>
      </c>
      <c r="D65" s="20" t="str">
        <f ca="1">IFERROR(__xludf.DUMMYFUNCTION("""COMPUTED_VALUE"""),"ВЕТЛАБ")</f>
        <v>ВЕТЛАБ</v>
      </c>
      <c r="E65" s="20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19" t="str">
        <f ca="1">IFERROR(__xludf.DUMMYFUNCTION("""COMPUTED_VALUE"""),"Канев Р. В.")</f>
        <v>Канев Р. В.</v>
      </c>
      <c r="C66" s="22">
        <f ca="1">IFERROR(__xludf.DUMMYFUNCTION("""COMPUTED_VALUE"""),3.61)</f>
        <v>3.61</v>
      </c>
      <c r="D66" s="20" t="str">
        <f ca="1">IFERROR(__xludf.DUMMYFUNCTION("""COMPUTED_VALUE"""),"ВЕТЛАБ")</f>
        <v>ВЕТЛАБ</v>
      </c>
      <c r="E66" s="20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19" t="str">
        <f ca="1">IFERROR(__xludf.DUMMYFUNCTION("""COMPUTED_VALUE"""),"Потолицына С. Р.")</f>
        <v>Потолицына С. Р.</v>
      </c>
      <c r="C67" s="22">
        <f ca="1">IFERROR(__xludf.DUMMYFUNCTION("""COMPUTED_VALUE"""),3.59)</f>
        <v>3.59</v>
      </c>
      <c r="D67" s="20" t="str">
        <f ca="1">IFERROR(__xludf.DUMMYFUNCTION("""COMPUTED_VALUE"""),"ВЕТЛАБ")</f>
        <v>ВЕТЛАБ</v>
      </c>
      <c r="E67" s="20" t="str">
        <f ca="1">IFERROR(__xludf.DUMMYFUNCTION("""COMPUTED_VALUE"""),"копия")</f>
        <v>копия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19" t="str">
        <f ca="1">IFERROR(__xludf.DUMMYFUNCTION("""COMPUTED_VALUE"""),"Литовченко А.")</f>
        <v>Литовченко А.</v>
      </c>
      <c r="C68" s="23">
        <f ca="1">IFERROR(__xludf.DUMMYFUNCTION("""COMPUTED_VALUE"""),3.58)</f>
        <v>3.58</v>
      </c>
      <c r="D68" s="20" t="str">
        <f ca="1">IFERROR(__xludf.DUMMYFUNCTION("""COMPUTED_VALUE"""),"ВЕТЛАБ")</f>
        <v>ВЕТЛАБ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19" t="str">
        <f ca="1">IFERROR(__xludf.DUMMYFUNCTION("""COMPUTED_VALUE"""),"Алимова Е.")</f>
        <v>Алимова Е.</v>
      </c>
      <c r="C69" s="23">
        <f ca="1">IFERROR(__xludf.DUMMYFUNCTION("""COMPUTED_VALUE"""),3.58)</f>
        <v>3.58</v>
      </c>
      <c r="D69" s="20" t="str">
        <f ca="1">IFERROR(__xludf.DUMMYFUNCTION("""COMPUTED_VALUE"""),"ВЕТЛАБ")</f>
        <v>ВЕТЛАБ</v>
      </c>
      <c r="E69" s="20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19" t="str">
        <f ca="1">IFERROR(__xludf.DUMMYFUNCTION("""COMPUTED_VALUE"""),"Алимова Е.")</f>
        <v>Алимова Е.</v>
      </c>
      <c r="C70" s="23">
        <f ca="1">IFERROR(__xludf.DUMMYFUNCTION("""COMPUTED_VALUE"""),3.58)</f>
        <v>3.58</v>
      </c>
      <c r="D70" s="20" t="str">
        <f ca="1">IFERROR(__xludf.DUMMYFUNCTION("""COMPUTED_VALUE"""),"ВЕТЛАБ")</f>
        <v>ВЕТЛАБ</v>
      </c>
      <c r="E70" s="20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19" t="str">
        <f ca="1">IFERROR(__xludf.DUMMYFUNCTION("""COMPUTED_VALUE"""),"Попова В.")</f>
        <v>Попова В.</v>
      </c>
      <c r="C71" s="22">
        <f ca="1">IFERROR(__xludf.DUMMYFUNCTION("""COMPUTED_VALUE"""),3.58)</f>
        <v>3.58</v>
      </c>
      <c r="D71" s="20" t="str">
        <f ca="1">IFERROR(__xludf.DUMMYFUNCTION("""COMPUTED_VALUE"""),"ВЕТЛАБ")</f>
        <v>ВЕТЛАБ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19" t="str">
        <f ca="1">IFERROR(__xludf.DUMMYFUNCTION("""COMPUTED_VALUE"""),"Дигель Р.")</f>
        <v>Дигель Р.</v>
      </c>
      <c r="C72" s="22">
        <f ca="1">IFERROR(__xludf.DUMMYFUNCTION("""COMPUTED_VALUE"""),3.58)</f>
        <v>3.58</v>
      </c>
      <c r="D72" s="20" t="str">
        <f ca="1">IFERROR(__xludf.DUMMYFUNCTION("""COMPUTED_VALUE"""),"ВЕТЛАБ")</f>
        <v>ВЕТЛАБ</v>
      </c>
      <c r="E72" s="20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19" t="str">
        <f ca="1">IFERROR(__xludf.DUMMYFUNCTION("""COMPUTED_VALUE"""),"Платто В.")</f>
        <v>Платто В.</v>
      </c>
      <c r="C73" s="22">
        <f ca="1">IFERROR(__xludf.DUMMYFUNCTION("""COMPUTED_VALUE"""),3.56)</f>
        <v>3.56</v>
      </c>
      <c r="D73" s="20" t="str">
        <f ca="1">IFERROR(__xludf.DUMMYFUNCTION("""COMPUTED_VALUE"""),"ВЕТЛАБ")</f>
        <v>ВЕТЛАБ</v>
      </c>
      <c r="E73" s="20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19" t="str">
        <f ca="1">IFERROR(__xludf.DUMMYFUNCTION("""COMPUTED_VALUE"""),"Лабецкая В.")</f>
        <v>Лабецкая В.</v>
      </c>
      <c r="C74" s="23">
        <f ca="1">IFERROR(__xludf.DUMMYFUNCTION("""COMPUTED_VALUE"""),3.55)</f>
        <v>3.55</v>
      </c>
      <c r="D74" s="20" t="str">
        <f ca="1">IFERROR(__xludf.DUMMYFUNCTION("""COMPUTED_VALUE"""),"ВЕТЛАБ")</f>
        <v>ВЕТЛАБ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19" t="str">
        <f ca="1">IFERROR(__xludf.DUMMYFUNCTION("""COMPUTED_VALUE"""),"Митяшина Д.")</f>
        <v>Митяшина Д.</v>
      </c>
      <c r="C75" s="23">
        <f ca="1">IFERROR(__xludf.DUMMYFUNCTION("""COMPUTED_VALUE"""),3.53)</f>
        <v>3.53</v>
      </c>
      <c r="D75" s="20" t="str">
        <f ca="1">IFERROR(__xludf.DUMMYFUNCTION("""COMPUTED_VALUE"""),"ВЕТЛАБ")</f>
        <v>ВЕТЛАБ</v>
      </c>
      <c r="E75" s="20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19" t="str">
        <f ca="1">IFERROR(__xludf.DUMMYFUNCTION("""COMPUTED_VALUE"""),"Калтайс А.")</f>
        <v>Калтайс А.</v>
      </c>
      <c r="C76" s="22">
        <f ca="1">IFERROR(__xludf.DUMMYFUNCTION("""COMPUTED_VALUE"""),3.53)</f>
        <v>3.53</v>
      </c>
      <c r="D76" s="20" t="str">
        <f ca="1">IFERROR(__xludf.DUMMYFUNCTION("""COMPUTED_VALUE"""),"ВЕТЛАБ")</f>
        <v>ВЕТЛАБ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19" t="str">
        <f ca="1">IFERROR(__xludf.DUMMYFUNCTION("""COMPUTED_VALUE"""),"Некрасова Ф.")</f>
        <v>Некрасова Ф.</v>
      </c>
      <c r="C77" s="22">
        <f ca="1">IFERROR(__xludf.DUMMYFUNCTION("""COMPUTED_VALUE"""),3.53)</f>
        <v>3.53</v>
      </c>
      <c r="D77" s="20" t="str">
        <f ca="1">IFERROR(__xludf.DUMMYFUNCTION("""COMPUTED_VALUE"""),"ВЕТЛАБ")</f>
        <v>ВЕТЛАБ</v>
      </c>
      <c r="E77" s="20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72</v>
      </c>
      <c r="B78" s="19" t="str">
        <f ca="1">IFERROR(__xludf.DUMMYFUNCTION("""COMPUTED_VALUE"""),"Харитонова К.")</f>
        <v>Харитонова К.</v>
      </c>
      <c r="C78" s="22">
        <f ca="1">IFERROR(__xludf.DUMMYFUNCTION("""COMPUTED_VALUE"""),3.53)</f>
        <v>3.53</v>
      </c>
      <c r="D78" s="20" t="str">
        <f ca="1">IFERROR(__xludf.DUMMYFUNCTION("""COMPUTED_VALUE"""),"ВЕТЛАБ")</f>
        <v>ВЕТЛАБ</v>
      </c>
      <c r="E78" s="20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73</v>
      </c>
      <c r="B79" s="19" t="str">
        <f ca="1">IFERROR(__xludf.DUMMYFUNCTION("""COMPUTED_VALUE"""),"Митяшина Д. Н.")</f>
        <v>Митяшина Д. Н.</v>
      </c>
      <c r="C79" s="22">
        <f ca="1">IFERROR(__xludf.DUMMYFUNCTION("""COMPUTED_VALUE"""),3.53)</f>
        <v>3.53</v>
      </c>
      <c r="D79" s="20" t="str">
        <f ca="1">IFERROR(__xludf.DUMMYFUNCTION("""COMPUTED_VALUE"""),"ВЕТЛАБ")</f>
        <v>ВЕТЛАБ</v>
      </c>
      <c r="E79" s="20" t="str">
        <f ca="1">IFERROR(__xludf.DUMMYFUNCTION("""COMPUTED_VALUE"""),"оригинал")</f>
        <v>оригинал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74</v>
      </c>
      <c r="B80" s="19" t="str">
        <f ca="1">IFERROR(__xludf.DUMMYFUNCTION("""COMPUTED_VALUE"""),"Федорова А. В.")</f>
        <v>Федорова А. В.</v>
      </c>
      <c r="C80" s="22">
        <f ca="1">IFERROR(__xludf.DUMMYFUNCTION("""COMPUTED_VALUE"""),3.53)</f>
        <v>3.53</v>
      </c>
      <c r="D80" s="20" t="str">
        <f ca="1">IFERROR(__xludf.DUMMYFUNCTION("""COMPUTED_VALUE"""),"ВЕТЛАБ")</f>
        <v>ВЕТЛАБ</v>
      </c>
      <c r="E80" s="20" t="str">
        <f ca="1">IFERROR(__xludf.DUMMYFUNCTION("""COMPUTED_VALUE"""),"оригинал")</f>
        <v>оригинал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75</v>
      </c>
      <c r="B81" s="19" t="str">
        <f ca="1">IFERROR(__xludf.DUMMYFUNCTION("""COMPUTED_VALUE"""),"Кушманова К.")</f>
        <v>Кушманова К.</v>
      </c>
      <c r="C81" s="23">
        <f ca="1">IFERROR(__xludf.DUMMYFUNCTION("""COMPUTED_VALUE"""),3.52)</f>
        <v>3.52</v>
      </c>
      <c r="D81" s="20" t="str">
        <f ca="1">IFERROR(__xludf.DUMMYFUNCTION("""COMPUTED_VALUE"""),"ВЕТЛАБ")</f>
        <v>ВЕТЛАБ</v>
      </c>
      <c r="E81" s="20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76</v>
      </c>
      <c r="B82" s="19" t="str">
        <f ca="1">IFERROR(__xludf.DUMMYFUNCTION("""COMPUTED_VALUE"""),"Рассыхаева К.")</f>
        <v>Рассыхаева К.</v>
      </c>
      <c r="C82" s="23">
        <f ca="1">IFERROR(__xludf.DUMMYFUNCTION("""COMPUTED_VALUE"""),3.52)</f>
        <v>3.52</v>
      </c>
      <c r="D82" s="6" t="str">
        <f ca="1">IFERROR(__xludf.DUMMYFUNCTION("""COMPUTED_VALUE"""),"ВЕТЛАБ")</f>
        <v>ВЕТЛАБ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77</v>
      </c>
      <c r="B83" s="19" t="str">
        <f ca="1">IFERROR(__xludf.DUMMYFUNCTION("""COMPUTED_VALUE"""),"Ташлыкова Л.")</f>
        <v>Ташлыкова Л.</v>
      </c>
      <c r="C83" s="20">
        <f ca="1">IFERROR(__xludf.DUMMYFUNCTION("""COMPUTED_VALUE"""),3.5)</f>
        <v>3.5</v>
      </c>
      <c r="D83" s="6" t="str">
        <f ca="1">IFERROR(__xludf.DUMMYFUNCTION("""COMPUTED_VALUE"""),"ВЕТЛАБ")</f>
        <v>ВЕТЛАБ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78</v>
      </c>
      <c r="B84" s="19" t="str">
        <f ca="1">IFERROR(__xludf.DUMMYFUNCTION("""COMPUTED_VALUE"""),"Шпулинг А.")</f>
        <v>Шпулинг А.</v>
      </c>
      <c r="C84" s="23">
        <f ca="1">IFERROR(__xludf.DUMMYFUNCTION("""COMPUTED_VALUE"""),3.5)</f>
        <v>3.5</v>
      </c>
      <c r="D84" s="6" t="str">
        <f ca="1">IFERROR(__xludf.DUMMYFUNCTION("""COMPUTED_VALUE"""),"ВЕТЛАБ")</f>
        <v>ВЕТЛАБ</v>
      </c>
      <c r="E84" s="20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19" t="str">
        <f ca="1">IFERROR(__xludf.DUMMYFUNCTION("""COMPUTED_VALUE"""),"Сокол В.")</f>
        <v>Сокол В.</v>
      </c>
      <c r="C85" s="20">
        <f ca="1">IFERROR(__xludf.DUMMYFUNCTION("""COMPUTED_VALUE"""),3.5)</f>
        <v>3.5</v>
      </c>
      <c r="D85" s="6" t="str">
        <f ca="1">IFERROR(__xludf.DUMMYFUNCTION("""COMPUTED_VALUE"""),"ВЕТЛАБ")</f>
        <v>ВЕТЛАБ</v>
      </c>
      <c r="E85" s="20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19" t="str">
        <f ca="1">IFERROR(__xludf.DUMMYFUNCTION("""COMPUTED_VALUE"""),"Кузнецова В.")</f>
        <v>Кузнецова В.</v>
      </c>
      <c r="C86" s="23">
        <f ca="1">IFERROR(__xludf.DUMMYFUNCTION("""COMPUTED_VALUE"""),3.5)</f>
        <v>3.5</v>
      </c>
      <c r="D86" s="6" t="str">
        <f ca="1">IFERROR(__xludf.DUMMYFUNCTION("""COMPUTED_VALUE"""),"ВЕТЛАБ")</f>
        <v>ВЕТЛАБ</v>
      </c>
      <c r="E86" s="20" t="str">
        <f ca="1">IFERROR(__xludf.DUMMYFUNCTION("""COMPUTED_VALUE"""),"оригинал ")</f>
        <v xml:space="preserve">оригинал 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81</v>
      </c>
      <c r="B87" s="19" t="str">
        <f ca="1">IFERROR(__xludf.DUMMYFUNCTION("""COMPUTED_VALUE"""),"Эрлих Е.")</f>
        <v>Эрлих Е.</v>
      </c>
      <c r="C87" s="22">
        <f ca="1">IFERROR(__xludf.DUMMYFUNCTION("""COMPUTED_VALUE"""),3.5)</f>
        <v>3.5</v>
      </c>
      <c r="D87" s="6" t="str">
        <f ca="1">IFERROR(__xludf.DUMMYFUNCTION("""COMPUTED_VALUE"""),"ВЕТЛАБ")</f>
        <v>ВЕТЛАБ</v>
      </c>
      <c r="E87" s="20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82</v>
      </c>
      <c r="B88" s="19" t="str">
        <f ca="1">IFERROR(__xludf.DUMMYFUNCTION("""COMPUTED_VALUE"""),"Жижева Е.")</f>
        <v>Жижева Е.</v>
      </c>
      <c r="C88" s="22">
        <f ca="1">IFERROR(__xludf.DUMMYFUNCTION("""COMPUTED_VALUE"""),3.48)</f>
        <v>3.48</v>
      </c>
      <c r="D88" s="6" t="str">
        <f ca="1">IFERROR(__xludf.DUMMYFUNCTION("""COMPUTED_VALUE"""),"ВЕТЛАБ")</f>
        <v>ВЕТЛАБ</v>
      </c>
      <c r="E88" s="20" t="str">
        <f ca="1">IFERROR(__xludf.DUMMYFUNCTION("""COMPUTED_VALUE"""),"копия")</f>
        <v>копия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83</v>
      </c>
      <c r="B89" s="19" t="str">
        <f ca="1">IFERROR(__xludf.DUMMYFUNCTION("""COMPUTED_VALUE"""),"Дуркина Е.")</f>
        <v>Дуркина Е.</v>
      </c>
      <c r="C89" s="23">
        <f ca="1">IFERROR(__xludf.DUMMYFUNCTION("""COMPUTED_VALUE"""),3.47)</f>
        <v>3.47</v>
      </c>
      <c r="D89" s="6" t="str">
        <f ca="1">IFERROR(__xludf.DUMMYFUNCTION("""COMPUTED_VALUE"""),"ВЕТЛАБ")</f>
        <v>ВЕТЛАБ</v>
      </c>
      <c r="E89" s="20" t="str">
        <f ca="1">IFERROR(__xludf.DUMMYFUNCTION("""COMPUTED_VALUE"""),"копия")</f>
        <v>копия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84</v>
      </c>
      <c r="B90" s="19" t="str">
        <f ca="1">IFERROR(__xludf.DUMMYFUNCTION("""COMPUTED_VALUE"""),"Кочанова Н.")</f>
        <v>Кочанова Н.</v>
      </c>
      <c r="C90" s="23">
        <f ca="1">IFERROR(__xludf.DUMMYFUNCTION("""COMPUTED_VALUE"""),3.47)</f>
        <v>3.47</v>
      </c>
      <c r="D90" s="6" t="str">
        <f ca="1">IFERROR(__xludf.DUMMYFUNCTION("""COMPUTED_VALUE"""),"ВЕТЛАБ")</f>
        <v>ВЕТЛАБ</v>
      </c>
      <c r="E90" s="20" t="str">
        <f ca="1">IFERROR(__xludf.DUMMYFUNCTION("""COMPUTED_VALUE"""),"копия")</f>
        <v>копия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85</v>
      </c>
      <c r="B91" s="19" t="str">
        <f ca="1">IFERROR(__xludf.DUMMYFUNCTION("""COMPUTED_VALUE"""),"Протасова В.")</f>
        <v>Протасова В.</v>
      </c>
      <c r="C91" s="23">
        <f ca="1">IFERROR(__xludf.DUMMYFUNCTION("""COMPUTED_VALUE"""),3.47)</f>
        <v>3.47</v>
      </c>
      <c r="D91" s="6" t="str">
        <f ca="1">IFERROR(__xludf.DUMMYFUNCTION("""COMPUTED_VALUE"""),"ВЕТЛАБ")</f>
        <v>ВЕТЛАБ</v>
      </c>
      <c r="E91" s="20" t="str">
        <f ca="1">IFERROR(__xludf.DUMMYFUNCTION("""COMPUTED_VALUE"""),"оригинал ")</f>
        <v xml:space="preserve">оригинал 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86</v>
      </c>
      <c r="B92" s="19" t="str">
        <f ca="1">IFERROR(__xludf.DUMMYFUNCTION("""COMPUTED_VALUE"""),"Цуманкова А.")</f>
        <v>Цуманкова А.</v>
      </c>
      <c r="C92" s="23">
        <f ca="1">IFERROR(__xludf.DUMMYFUNCTION("""COMPUTED_VALUE"""),3.47)</f>
        <v>3.47</v>
      </c>
      <c r="D92" s="6" t="str">
        <f ca="1">IFERROR(__xludf.DUMMYFUNCTION("""COMPUTED_VALUE"""),"ВЕТЛАБ")</f>
        <v>ВЕТЛАБ</v>
      </c>
      <c r="E92" s="20" t="str">
        <f ca="1">IFERROR(__xludf.DUMMYFUNCTION("""COMPUTED_VALUE"""),"копия")</f>
        <v>копия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87</v>
      </c>
      <c r="B93" s="19" t="str">
        <f ca="1">IFERROR(__xludf.DUMMYFUNCTION("""COMPUTED_VALUE"""),"Шевелева Я.")</f>
        <v>Шевелева Я.</v>
      </c>
      <c r="C93" s="23">
        <f ca="1">IFERROR(__xludf.DUMMYFUNCTION("""COMPUTED_VALUE"""),3.45)</f>
        <v>3.45</v>
      </c>
      <c r="D93" s="6" t="str">
        <f ca="1">IFERROR(__xludf.DUMMYFUNCTION("""COMPUTED_VALUE"""),"ВЕТЛАБ")</f>
        <v>ВЕТЛАБ</v>
      </c>
      <c r="E93" s="20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88</v>
      </c>
      <c r="B94" s="19" t="str">
        <f ca="1">IFERROR(__xludf.DUMMYFUNCTION("""COMPUTED_VALUE"""),"Антон Е.")</f>
        <v>Антон Е.</v>
      </c>
      <c r="C94" s="23">
        <f ca="1">IFERROR(__xludf.DUMMYFUNCTION("""COMPUTED_VALUE"""),3.44)</f>
        <v>3.44</v>
      </c>
      <c r="D94" s="6" t="str">
        <f ca="1">IFERROR(__xludf.DUMMYFUNCTION("""COMPUTED_VALUE"""),"ВЕТЛАБ")</f>
        <v>ВЕТЛАБ</v>
      </c>
      <c r="E94" s="20" t="str">
        <f ca="1">IFERROR(__xludf.DUMMYFUNCTION("""COMPUTED_VALUE"""),"копия")</f>
        <v>копия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89</v>
      </c>
      <c r="B95" s="19" t="str">
        <f ca="1">IFERROR(__xludf.DUMMYFUNCTION("""COMPUTED_VALUE"""),"Гулынин Д.")</f>
        <v>Гулынин Д.</v>
      </c>
      <c r="C95" s="20">
        <f ca="1">IFERROR(__xludf.DUMMYFUNCTION("""COMPUTED_VALUE"""),3.44)</f>
        <v>3.44</v>
      </c>
      <c r="D95" s="6" t="str">
        <f ca="1">IFERROR(__xludf.DUMMYFUNCTION("""COMPUTED_VALUE"""),"ВЕТЛАБ")</f>
        <v>ВЕТЛАБ</v>
      </c>
      <c r="E95" s="20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90</v>
      </c>
      <c r="B96" s="19" t="str">
        <f ca="1">IFERROR(__xludf.DUMMYFUNCTION("""COMPUTED_VALUE"""),"Попова Т.")</f>
        <v>Попова Т.</v>
      </c>
      <c r="C96" s="23">
        <f ca="1">IFERROR(__xludf.DUMMYFUNCTION("""COMPUTED_VALUE"""),3.44)</f>
        <v>3.44</v>
      </c>
      <c r="D96" s="6" t="str">
        <f ca="1">IFERROR(__xludf.DUMMYFUNCTION("""COMPUTED_VALUE"""),"ВЕТЛАБ")</f>
        <v>ВЕТЛАБ</v>
      </c>
      <c r="E96" s="20" t="str">
        <f ca="1">IFERROR(__xludf.DUMMYFUNCTION("""COMPUTED_VALUE"""),"копия")</f>
        <v>копия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30">
        <v>91</v>
      </c>
      <c r="B97" s="19" t="str">
        <f ca="1">IFERROR(__xludf.DUMMYFUNCTION("""COMPUTED_VALUE"""),"Размыслова С.")</f>
        <v>Размыслова С.</v>
      </c>
      <c r="C97" s="23">
        <f ca="1">IFERROR(__xludf.DUMMYFUNCTION("""COMPUTED_VALUE"""),3.44)</f>
        <v>3.44</v>
      </c>
      <c r="D97" s="6" t="str">
        <f ca="1">IFERROR(__xludf.DUMMYFUNCTION("""COMPUTED_VALUE"""),"ВЕТЛАБ")</f>
        <v>ВЕТЛАБ</v>
      </c>
      <c r="E97" s="20" t="str">
        <f ca="1">IFERROR(__xludf.DUMMYFUNCTION("""COMPUTED_VALUE"""),"копия")</f>
        <v>копия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30">
        <v>92</v>
      </c>
      <c r="B98" s="19" t="str">
        <f ca="1">IFERROR(__xludf.DUMMYFUNCTION("""COMPUTED_VALUE"""),"Вахнина А.")</f>
        <v>Вахнина А.</v>
      </c>
      <c r="C98" s="23">
        <f ca="1">IFERROR(__xludf.DUMMYFUNCTION("""COMPUTED_VALUE"""),3.42)</f>
        <v>3.42</v>
      </c>
      <c r="D98" s="6" t="str">
        <f ca="1">IFERROR(__xludf.DUMMYFUNCTION("""COMPUTED_VALUE"""),"ВЕТЛАБ")</f>
        <v>ВЕТЛАБ</v>
      </c>
      <c r="E98" s="20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30">
        <v>93</v>
      </c>
      <c r="B99" s="19" t="str">
        <f ca="1">IFERROR(__xludf.DUMMYFUNCTION("""COMPUTED_VALUE"""),"Попов Р.")</f>
        <v>Попов Р.</v>
      </c>
      <c r="C99" s="23">
        <f ca="1">IFERROR(__xludf.DUMMYFUNCTION("""COMPUTED_VALUE"""),3.42)</f>
        <v>3.42</v>
      </c>
      <c r="D99" s="6" t="str">
        <f ca="1">IFERROR(__xludf.DUMMYFUNCTION("""COMPUTED_VALUE"""),"ВЕТЛАБ")</f>
        <v>ВЕТЛАБ</v>
      </c>
      <c r="E99" s="20" t="str">
        <f ca="1">IFERROR(__xludf.DUMMYFUNCTION("""COMPUTED_VALUE"""),"копия")</f>
        <v>копия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30">
        <v>94</v>
      </c>
      <c r="B100" s="19" t="str">
        <f ca="1">IFERROR(__xludf.DUMMYFUNCTION("""COMPUTED_VALUE"""),"Соболева А.")</f>
        <v>Соболева А.</v>
      </c>
      <c r="C100" s="22">
        <f ca="1">IFERROR(__xludf.DUMMYFUNCTION("""COMPUTED_VALUE"""),3.42)</f>
        <v>3.42</v>
      </c>
      <c r="D100" s="6" t="str">
        <f ca="1">IFERROR(__xludf.DUMMYFUNCTION("""COMPUTED_VALUE"""),"ВЕТЛАБ")</f>
        <v>ВЕТЛАБ</v>
      </c>
      <c r="E100" s="20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30">
        <v>95</v>
      </c>
      <c r="B101" s="19" t="str">
        <f ca="1">IFERROR(__xludf.DUMMYFUNCTION("""COMPUTED_VALUE"""),"Чурсина Е.")</f>
        <v>Чурсина Е.</v>
      </c>
      <c r="C101" s="23">
        <f ca="1">IFERROR(__xludf.DUMMYFUNCTION("""COMPUTED_VALUE"""),3.4)</f>
        <v>3.4</v>
      </c>
      <c r="D101" s="6" t="str">
        <f ca="1">IFERROR(__xludf.DUMMYFUNCTION("""COMPUTED_VALUE"""),"ВЕТЛАБ")</f>
        <v>ВЕТЛАБ</v>
      </c>
      <c r="E101" s="20" t="str">
        <f ca="1">IFERROR(__xludf.DUMMYFUNCTION("""COMPUTED_VALUE"""),"копия")</f>
        <v>копия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30">
        <v>96</v>
      </c>
      <c r="B102" s="19" t="str">
        <f ca="1">IFERROR(__xludf.DUMMYFUNCTION("""COMPUTED_VALUE"""),"Хусаинова О.")</f>
        <v>Хусаинова О.</v>
      </c>
      <c r="C102" s="23">
        <f ca="1">IFERROR(__xludf.DUMMYFUNCTION("""COMPUTED_VALUE"""),3.4)</f>
        <v>3.4</v>
      </c>
      <c r="D102" s="6" t="str">
        <f ca="1">IFERROR(__xludf.DUMMYFUNCTION("""COMPUTED_VALUE"""),"ВЕТЛАБ")</f>
        <v>ВЕТЛАБ</v>
      </c>
      <c r="E102" s="20" t="str">
        <f ca="1">IFERROR(__xludf.DUMMYFUNCTION("""COMPUTED_VALUE"""),"копия")</f>
        <v>копия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30">
        <v>97</v>
      </c>
      <c r="B103" s="19" t="str">
        <f ca="1">IFERROR(__xludf.DUMMYFUNCTION("""COMPUTED_VALUE"""),"Ежова Л.")</f>
        <v>Ежова Л.</v>
      </c>
      <c r="C103" s="23">
        <f ca="1">IFERROR(__xludf.DUMMYFUNCTION("""COMPUTED_VALUE"""),3.39)</f>
        <v>3.39</v>
      </c>
      <c r="D103" s="6" t="str">
        <f ca="1">IFERROR(__xludf.DUMMYFUNCTION("""COMPUTED_VALUE"""),"ВЕТЛАБ")</f>
        <v>ВЕТЛАБ</v>
      </c>
      <c r="E103" s="20" t="str">
        <f ca="1">IFERROR(__xludf.DUMMYFUNCTION("""COMPUTED_VALUE"""),"копия")</f>
        <v>копия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30">
        <v>98</v>
      </c>
      <c r="B104" s="19" t="str">
        <f ca="1">IFERROR(__xludf.DUMMYFUNCTION("""COMPUTED_VALUE"""),"Косова М.")</f>
        <v>Косова М.</v>
      </c>
      <c r="C104" s="22">
        <f ca="1">IFERROR(__xludf.DUMMYFUNCTION("""COMPUTED_VALUE"""),3.39)</f>
        <v>3.39</v>
      </c>
      <c r="D104" s="6" t="str">
        <f ca="1">IFERROR(__xludf.DUMMYFUNCTION("""COMPUTED_VALUE"""),"ВЕТЛАБ")</f>
        <v>ВЕТЛАБ</v>
      </c>
      <c r="E104" s="20" t="str">
        <f ca="1">IFERROR(__xludf.DUMMYFUNCTION("""COMPUTED_VALUE"""),"копия")</f>
        <v>копия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30">
        <v>99</v>
      </c>
      <c r="B105" s="19" t="str">
        <f ca="1">IFERROR(__xludf.DUMMYFUNCTION("""COMPUTED_VALUE"""),"Ежова Л.")</f>
        <v>Ежова Л.</v>
      </c>
      <c r="C105" s="23">
        <f ca="1">IFERROR(__xludf.DUMMYFUNCTION("""COMPUTED_VALUE"""),3.38)</f>
        <v>3.38</v>
      </c>
      <c r="D105" s="6" t="str">
        <f ca="1">IFERROR(__xludf.DUMMYFUNCTION("""COMPUTED_VALUE"""),"ВЕТЛАБ")</f>
        <v>ВЕТЛАБ</v>
      </c>
      <c r="E105" s="20" t="str">
        <f ca="1">IFERROR(__xludf.DUMMYFUNCTION("""COMPUTED_VALUE"""),"копия")</f>
        <v>копия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30">
        <v>100</v>
      </c>
      <c r="B106" s="19" t="str">
        <f ca="1">IFERROR(__xludf.DUMMYFUNCTION("""COMPUTED_VALUE"""),"Носкова Д.")</f>
        <v>Носкова Д.</v>
      </c>
      <c r="C106" s="23">
        <f ca="1">IFERROR(__xludf.DUMMYFUNCTION("""COMPUTED_VALUE"""),3.36)</f>
        <v>3.36</v>
      </c>
      <c r="D106" s="6" t="str">
        <f ca="1">IFERROR(__xludf.DUMMYFUNCTION("""COMPUTED_VALUE"""),"ВЕТЛАБ")</f>
        <v>ВЕТЛАБ</v>
      </c>
      <c r="E106" s="20" t="str">
        <f ca="1">IFERROR(__xludf.DUMMYFUNCTION("""COMPUTED_VALUE"""),"копия")</f>
        <v>копия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30">
        <v>101</v>
      </c>
      <c r="B107" s="19" t="str">
        <f ca="1">IFERROR(__xludf.DUMMYFUNCTION("""COMPUTED_VALUE"""),"Сердитов Д.")</f>
        <v>Сердитов Д.</v>
      </c>
      <c r="C107" s="22">
        <f ca="1">IFERROR(__xludf.DUMMYFUNCTION("""COMPUTED_VALUE"""),3.35)</f>
        <v>3.35</v>
      </c>
      <c r="D107" s="6" t="str">
        <f ca="1">IFERROR(__xludf.DUMMYFUNCTION("""COMPUTED_VALUE"""),"ВЕТЛАБ")</f>
        <v>ВЕТЛАБ</v>
      </c>
      <c r="E107" s="20" t="str">
        <f ca="1">IFERROR(__xludf.DUMMYFUNCTION("""COMPUTED_VALUE"""),"копия")</f>
        <v>копия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30">
        <v>102</v>
      </c>
      <c r="B108" s="19" t="str">
        <f ca="1">IFERROR(__xludf.DUMMYFUNCTION("""COMPUTED_VALUE"""),"Гусейнова Д. Г.")</f>
        <v>Гусейнова Д. Г.</v>
      </c>
      <c r="C108" s="22">
        <f ca="1">IFERROR(__xludf.DUMMYFUNCTION("""COMPUTED_VALUE"""),3.33)</f>
        <v>3.33</v>
      </c>
      <c r="D108" s="6" t="str">
        <f ca="1">IFERROR(__xludf.DUMMYFUNCTION("""COMPUTED_VALUE"""),"ВЕТЛАБ")</f>
        <v>ВЕТЛАБ</v>
      </c>
      <c r="E108" s="20" t="str">
        <f ca="1">IFERROR(__xludf.DUMMYFUNCTION("""COMPUTED_VALUE"""),"оригинал")</f>
        <v>оригинал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30">
        <v>103</v>
      </c>
      <c r="B109" s="19" t="str">
        <f ca="1">IFERROR(__xludf.DUMMYFUNCTION("""COMPUTED_VALUE"""),"Мальцева В.")</f>
        <v>Мальцева В.</v>
      </c>
      <c r="C109" s="23">
        <f ca="1">IFERROR(__xludf.DUMMYFUNCTION("""COMPUTED_VALUE"""),3.31)</f>
        <v>3.31</v>
      </c>
      <c r="D109" s="6" t="str">
        <f ca="1">IFERROR(__xludf.DUMMYFUNCTION("""COMPUTED_VALUE"""),"ВЕТЛАБ")</f>
        <v>ВЕТЛАБ</v>
      </c>
      <c r="E109" s="20" t="str">
        <f ca="1">IFERROR(__xludf.DUMMYFUNCTION("""COMPUTED_VALUE"""),"копия")</f>
        <v>копия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30">
        <v>104</v>
      </c>
      <c r="B110" s="19" t="str">
        <f ca="1">IFERROR(__xludf.DUMMYFUNCTION("""COMPUTED_VALUE"""),"Бакулин А.")</f>
        <v>Бакулин А.</v>
      </c>
      <c r="C110" s="23">
        <f ca="1">IFERROR(__xludf.DUMMYFUNCTION("""COMPUTED_VALUE"""),3.29)</f>
        <v>3.29</v>
      </c>
      <c r="D110" s="6" t="str">
        <f ca="1">IFERROR(__xludf.DUMMYFUNCTION("""COMPUTED_VALUE"""),"ВЕТЛАБ")</f>
        <v>ВЕТЛАБ</v>
      </c>
      <c r="E110" s="20" t="str">
        <f ca="1">IFERROR(__xludf.DUMMYFUNCTION("""COMPUTED_VALUE"""),"копия")</f>
        <v>копия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30">
        <v>105</v>
      </c>
      <c r="B111" s="19" t="str">
        <f ca="1">IFERROR(__xludf.DUMMYFUNCTION("""COMPUTED_VALUE"""),"Давлетов Ю.")</f>
        <v>Давлетов Ю.</v>
      </c>
      <c r="C111" s="22">
        <f ca="1">IFERROR(__xludf.DUMMYFUNCTION("""COMPUTED_VALUE"""),3.29)</f>
        <v>3.29</v>
      </c>
      <c r="D111" s="6" t="str">
        <f ca="1">IFERROR(__xludf.DUMMYFUNCTION("""COMPUTED_VALUE"""),"ВЕТЛАБ")</f>
        <v>ВЕТЛАБ</v>
      </c>
      <c r="E111" s="20" t="str">
        <f ca="1">IFERROR(__xludf.DUMMYFUNCTION("""COMPUTED_VALUE"""),"копия")</f>
        <v>копия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30">
        <v>106</v>
      </c>
      <c r="B112" s="19" t="str">
        <f ca="1">IFERROR(__xludf.DUMMYFUNCTION("""COMPUTED_VALUE"""),"Гордиенко Д. В.")</f>
        <v>Гордиенко Д. В.</v>
      </c>
      <c r="C112" s="22">
        <f ca="1">IFERROR(__xludf.DUMMYFUNCTION("""COMPUTED_VALUE"""),3.26)</f>
        <v>3.26</v>
      </c>
      <c r="D112" s="6" t="str">
        <f ca="1">IFERROR(__xludf.DUMMYFUNCTION("""COMPUTED_VALUE"""),"ВЕТЛАБ")</f>
        <v>ВЕТЛАБ</v>
      </c>
      <c r="E112" s="20" t="str">
        <f ca="1">IFERROR(__xludf.DUMMYFUNCTION("""COMPUTED_VALUE"""),"копия")</f>
        <v>копия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30">
        <v>107</v>
      </c>
      <c r="B113" s="19" t="str">
        <f ca="1">IFERROR(__xludf.DUMMYFUNCTION("""COMPUTED_VALUE"""),"Ковалева А.")</f>
        <v>Ковалева А.</v>
      </c>
      <c r="C113" s="20">
        <f ca="1">IFERROR(__xludf.DUMMYFUNCTION("""COMPUTED_VALUE"""),3.25)</f>
        <v>3.25</v>
      </c>
      <c r="D113" s="6" t="str">
        <f ca="1">IFERROR(__xludf.DUMMYFUNCTION("""COMPUTED_VALUE"""),"ВЕТЛАБ")</f>
        <v>ВЕТЛАБ</v>
      </c>
      <c r="E113" s="20" t="str">
        <f ca="1">IFERROR(__xludf.DUMMYFUNCTION("""COMPUTED_VALUE"""),"копия")</f>
        <v>копия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30">
        <v>108</v>
      </c>
      <c r="B114" s="19" t="str">
        <f ca="1">IFERROR(__xludf.DUMMYFUNCTION("""COMPUTED_VALUE"""),"Владычек Д.")</f>
        <v>Владычек Д.</v>
      </c>
      <c r="C114" s="23">
        <f ca="1">IFERROR(__xludf.DUMMYFUNCTION("""COMPUTED_VALUE"""),3.24)</f>
        <v>3.24</v>
      </c>
      <c r="D114" s="6" t="str">
        <f ca="1">IFERROR(__xludf.DUMMYFUNCTION("""COMPUTED_VALUE"""),"ВЕТЛАБ")</f>
        <v>ВЕТЛАБ</v>
      </c>
      <c r="E114" s="20" t="str">
        <f ca="1">IFERROR(__xludf.DUMMYFUNCTION("""COMPUTED_VALUE"""),"копия")</f>
        <v>копия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30">
        <v>109</v>
      </c>
      <c r="B115" s="19" t="str">
        <f ca="1">IFERROR(__xludf.DUMMYFUNCTION("""COMPUTED_VALUE"""),"Ротанова В.")</f>
        <v>Ротанова В.</v>
      </c>
      <c r="C115" s="29">
        <f ca="1">IFERROR(__xludf.DUMMYFUNCTION("""COMPUTED_VALUE"""),3.24)</f>
        <v>3.24</v>
      </c>
      <c r="D115" s="19" t="str">
        <f ca="1">IFERROR(__xludf.DUMMYFUNCTION("""COMPUTED_VALUE"""),"ВЕТЛАБ")</f>
        <v>ВЕТЛАБ</v>
      </c>
      <c r="E115" s="19" t="str">
        <f ca="1">IFERROR(__xludf.DUMMYFUNCTION("""COMPUTED_VALUE"""),"копия")</f>
        <v>копия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30">
        <v>110</v>
      </c>
      <c r="B116" s="19" t="str">
        <f ca="1">IFERROR(__xludf.DUMMYFUNCTION("""COMPUTED_VALUE"""),"Литвиненко И.")</f>
        <v>Литвиненко И.</v>
      </c>
      <c r="C116" s="33">
        <f ca="1">IFERROR(__xludf.DUMMYFUNCTION("""COMPUTED_VALUE"""),3.23)</f>
        <v>3.23</v>
      </c>
      <c r="D116" s="19" t="str">
        <f ca="1">IFERROR(__xludf.DUMMYFUNCTION("""COMPUTED_VALUE"""),"ВЕТЛАБ")</f>
        <v>ВЕТЛАБ</v>
      </c>
      <c r="E116" s="19" t="str">
        <f ca="1">IFERROR(__xludf.DUMMYFUNCTION("""COMPUTED_VALUE"""),"копия")</f>
        <v>копия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30">
        <v>111</v>
      </c>
      <c r="B117" s="19" t="str">
        <f ca="1">IFERROR(__xludf.DUMMYFUNCTION("""COMPUTED_VALUE"""),"Попова Д.")</f>
        <v>Попова Д.</v>
      </c>
      <c r="C117" s="29">
        <f ca="1">IFERROR(__xludf.DUMMYFUNCTION("""COMPUTED_VALUE"""),3.22)</f>
        <v>3.22</v>
      </c>
      <c r="D117" s="19" t="str">
        <f ca="1">IFERROR(__xludf.DUMMYFUNCTION("""COMPUTED_VALUE"""),"ВЕТЛАБ")</f>
        <v>ВЕТЛАБ</v>
      </c>
      <c r="E117" s="19" t="str">
        <f ca="1">IFERROR(__xludf.DUMMYFUNCTION("""COMPUTED_VALUE"""),"копия")</f>
        <v>копия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30">
        <v>112</v>
      </c>
      <c r="B118" s="19" t="str">
        <f ca="1">IFERROR(__xludf.DUMMYFUNCTION("""COMPUTED_VALUE"""),"Леденцов С.")</f>
        <v>Леденцов С.</v>
      </c>
      <c r="C118" s="33">
        <f ca="1">IFERROR(__xludf.DUMMYFUNCTION("""COMPUTED_VALUE"""),3.21)</f>
        <v>3.21</v>
      </c>
      <c r="D118" s="19" t="str">
        <f ca="1">IFERROR(__xludf.DUMMYFUNCTION("""COMPUTED_VALUE"""),"ВЕТЛАБ")</f>
        <v>ВЕТЛАБ</v>
      </c>
      <c r="E118" s="19" t="str">
        <f ca="1">IFERROR(__xludf.DUMMYFUNCTION("""COMPUTED_VALUE"""),"копия")</f>
        <v>копия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30">
        <v>113</v>
      </c>
      <c r="B119" s="19" t="str">
        <f ca="1">IFERROR(__xludf.DUMMYFUNCTION("""COMPUTED_VALUE"""),"Настасина К.")</f>
        <v>Настасина К.</v>
      </c>
      <c r="C119" s="33">
        <f ca="1">IFERROR(__xludf.DUMMYFUNCTION("""COMPUTED_VALUE"""),3.21)</f>
        <v>3.21</v>
      </c>
      <c r="D119" s="19" t="str">
        <f ca="1">IFERROR(__xludf.DUMMYFUNCTION("""COMPUTED_VALUE"""),"ВЕТЛАБ")</f>
        <v>ВЕТЛАБ</v>
      </c>
      <c r="E119" s="19" t="str">
        <f ca="1">IFERROR(__xludf.DUMMYFUNCTION("""COMPUTED_VALUE"""),"копия")</f>
        <v>копия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6" ht="13.5" customHeight="1">
      <c r="A120" s="30">
        <v>114</v>
      </c>
      <c r="B120" s="19" t="str">
        <f ca="1">IFERROR(__xludf.DUMMYFUNCTION("""COMPUTED_VALUE"""),"Павлюшина Е.")</f>
        <v>Павлюшина Е.</v>
      </c>
      <c r="C120" s="33">
        <f ca="1">IFERROR(__xludf.DUMMYFUNCTION("""COMPUTED_VALUE"""),3.19)</f>
        <v>3.19</v>
      </c>
      <c r="D120" s="19" t="str">
        <f ca="1">IFERROR(__xludf.DUMMYFUNCTION("""COMPUTED_VALUE"""),"ВЕТЛАБ")</f>
        <v>ВЕТЛАБ</v>
      </c>
      <c r="E120" s="19" t="str">
        <f ca="1">IFERROR(__xludf.DUMMYFUNCTION("""COMPUTED_VALUE"""),"копия")</f>
        <v>копия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6" ht="13.5" customHeight="1">
      <c r="A121" s="30">
        <v>115</v>
      </c>
      <c r="B121" s="19" t="str">
        <f ca="1">IFERROR(__xludf.DUMMYFUNCTION("""COMPUTED_VALUE"""),"Шудрич Д.")</f>
        <v>Шудрич Д.</v>
      </c>
      <c r="C121" s="29">
        <f ca="1">IFERROR(__xludf.DUMMYFUNCTION("""COMPUTED_VALUE"""),3.15)</f>
        <v>3.15</v>
      </c>
      <c r="D121" s="19" t="str">
        <f ca="1">IFERROR(__xludf.DUMMYFUNCTION("""COMPUTED_VALUE"""),"ВЕТЛАБ")</f>
        <v>ВЕТЛАБ</v>
      </c>
      <c r="E121" s="19" t="str">
        <f ca="1">IFERROR(__xludf.DUMMYFUNCTION("""COMPUTED_VALUE"""),"копия")</f>
        <v>копия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6" ht="13.5" customHeight="1">
      <c r="A122" s="30">
        <v>116</v>
      </c>
      <c r="B122" s="19" t="str">
        <f ca="1">IFERROR(__xludf.DUMMYFUNCTION("""COMPUTED_VALUE"""),"Коломейцев С.")</f>
        <v>Коломейцев С.</v>
      </c>
      <c r="C122" s="19">
        <f ca="1">IFERROR(__xludf.DUMMYFUNCTION("""COMPUTED_VALUE"""),3.1)</f>
        <v>3.1</v>
      </c>
      <c r="D122" s="19" t="str">
        <f ca="1">IFERROR(__xludf.DUMMYFUNCTION("""COMPUTED_VALUE"""),"ВЕТЛАБ")</f>
        <v>ВЕТЛАБ</v>
      </c>
      <c r="E122" s="19" t="str">
        <f ca="1">IFERROR(__xludf.DUMMYFUNCTION("""COMPUTED_VALUE"""),"копия")</f>
        <v>копия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6" ht="13.5" customHeight="1">
      <c r="A123" s="30">
        <v>117</v>
      </c>
      <c r="B123" s="19" t="str">
        <f ca="1">IFERROR(__xludf.DUMMYFUNCTION("""COMPUTED_VALUE"""),"Куцко Р.")</f>
        <v>Куцко Р.</v>
      </c>
      <c r="C123" s="29">
        <f ca="1">IFERROR(__xludf.DUMMYFUNCTION("""COMPUTED_VALUE"""),3)</f>
        <v>3</v>
      </c>
      <c r="D123" s="19" t="str">
        <f ca="1">IFERROR(__xludf.DUMMYFUNCTION("""COMPUTED_VALUE"""),"ВЕТЛАБ")</f>
        <v>ВЕТЛАБ</v>
      </c>
      <c r="E123" s="19" t="str">
        <f ca="1">IFERROR(__xludf.DUMMYFUNCTION("""COMPUTED_VALUE"""),"копия")</f>
        <v>копия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6" ht="13.5" customHeight="1">
      <c r="A124" s="30">
        <v>118</v>
      </c>
      <c r="B124" s="19" t="str">
        <f ca="1">IFERROR(__xludf.DUMMYFUNCTION("""COMPUTED_VALUE"""),"Аникьева Л.")</f>
        <v>Аникьева Л.</v>
      </c>
      <c r="C124" s="33"/>
      <c r="D124" s="19" t="str">
        <f ca="1">IFERROR(__xludf.DUMMYFUNCTION("""COMPUTED_VALUE"""),"ВЕТЛАБ")</f>
        <v>ВЕТЛАБ</v>
      </c>
      <c r="E124" s="19" t="str">
        <f ca="1">IFERROR(__xludf.DUMMYFUNCTION("""COMPUTED_VALUE"""),"копия")</f>
        <v>копия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30"/>
      <c r="B136" s="19"/>
      <c r="C136" s="20"/>
      <c r="D136" s="6"/>
      <c r="E136" s="20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30"/>
      <c r="B137" s="19"/>
      <c r="C137" s="20"/>
      <c r="D137" s="6"/>
      <c r="E137" s="20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30"/>
      <c r="B138" s="19"/>
      <c r="C138" s="20"/>
      <c r="D138" s="6"/>
      <c r="E138" s="20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30"/>
      <c r="B139" s="19"/>
      <c r="C139" s="20"/>
      <c r="D139" s="6"/>
      <c r="E139" s="20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19"/>
      <c r="B140" s="19"/>
      <c r="C140" s="19"/>
      <c r="D140" s="19"/>
      <c r="E140" s="1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19"/>
      <c r="B141" s="19"/>
      <c r="C141" s="19"/>
      <c r="D141" s="19"/>
      <c r="E141" s="1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19"/>
      <c r="B142" s="19"/>
      <c r="C142" s="19"/>
      <c r="D142" s="19"/>
      <c r="E142" s="1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19"/>
      <c r="B143" s="19"/>
      <c r="C143" s="19"/>
      <c r="D143" s="19"/>
      <c r="E143" s="1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19"/>
      <c r="B144" s="19"/>
      <c r="C144" s="19"/>
      <c r="D144" s="19"/>
      <c r="E144" s="1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19"/>
      <c r="B145" s="19"/>
      <c r="C145" s="19"/>
      <c r="D145" s="19"/>
      <c r="E145" s="1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19"/>
      <c r="B146" s="19"/>
      <c r="C146" s="19"/>
      <c r="D146" s="19"/>
      <c r="E146" s="1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19"/>
      <c r="B147" s="19"/>
      <c r="C147" s="19"/>
      <c r="D147" s="19"/>
      <c r="E147" s="1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19"/>
      <c r="B148" s="19"/>
      <c r="C148" s="19"/>
      <c r="D148" s="19"/>
      <c r="E148" s="1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19"/>
      <c r="B149" s="19"/>
      <c r="C149" s="19"/>
      <c r="D149" s="19"/>
      <c r="E149" s="1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19"/>
      <c r="B150" s="19"/>
      <c r="C150" s="19"/>
      <c r="D150" s="19"/>
      <c r="E150" s="1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19"/>
      <c r="B151" s="19"/>
      <c r="C151" s="19"/>
      <c r="D151" s="19"/>
      <c r="E151" s="1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19"/>
      <c r="B152" s="19"/>
      <c r="C152" s="19"/>
      <c r="D152" s="19"/>
      <c r="E152" s="1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19"/>
      <c r="B153" s="19"/>
      <c r="C153" s="19"/>
      <c r="D153" s="19"/>
      <c r="E153" s="1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19"/>
      <c r="B154" s="19"/>
      <c r="C154" s="19"/>
      <c r="D154" s="19"/>
      <c r="E154" s="1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19"/>
      <c r="B155" s="19"/>
      <c r="C155" s="19"/>
      <c r="D155" s="19"/>
      <c r="E155" s="1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19"/>
      <c r="B156" s="19"/>
      <c r="C156" s="19"/>
      <c r="D156" s="19"/>
      <c r="E156" s="1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19"/>
      <c r="B157" s="19"/>
      <c r="C157" s="19"/>
      <c r="D157" s="19"/>
      <c r="E157" s="1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19"/>
      <c r="B158" s="19"/>
      <c r="C158" s="19"/>
      <c r="D158" s="19"/>
      <c r="E158" s="1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19"/>
      <c r="B159" s="19"/>
      <c r="C159" s="19"/>
      <c r="D159" s="19"/>
      <c r="E159" s="1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abSelected="1" topLeftCell="A139" workbookViewId="0">
      <selection activeCell="C158" sqref="C158"/>
    </sheetView>
  </sheetViews>
  <sheetFormatPr defaultColWidth="14.42578125" defaultRowHeight="15" customHeight="1"/>
  <cols>
    <col min="1" max="1" width="8.5703125" customWidth="1"/>
    <col min="2" max="2" width="31.42578125" customWidth="1"/>
    <col min="3" max="3" width="19.140625" customWidth="1"/>
    <col min="4" max="4" width="12.42578125" hidden="1" customWidth="1"/>
    <col min="5" max="5" width="20.570312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4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8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9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48.75">
      <c r="A6" s="16" t="s">
        <v>17</v>
      </c>
      <c r="B6" s="18" t="s">
        <v>19</v>
      </c>
      <c r="C6" s="16" t="s">
        <v>21</v>
      </c>
      <c r="D6" s="16" t="s">
        <v>24</v>
      </c>
      <c r="E6" s="16" t="s">
        <v>25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IFERROR(__xludf.DUMMYFUNCTION("FILTER(Inbox_Data!F2:I1003,Inbox_Data!H2:H1003=""ВЕТ"")"),"Ветошкина О.В.")</f>
        <v>Ветошкина О.В.</v>
      </c>
      <c r="C7" s="23">
        <f ca="1">IFERROR(__xludf.DUMMYFUNCTION("""COMPUTED_VALUE"""),5)</f>
        <v>5</v>
      </c>
      <c r="D7" s="20" t="str">
        <f ca="1">IFERROR(__xludf.DUMMYFUNCTION("""COMPUTED_VALUE"""),"ВЕТ")</f>
        <v>ВЕТ</v>
      </c>
      <c r="E7" s="20" t="str">
        <f ca="1">IFERROR(__xludf.DUMMYFUNCTION("""COMPUTED_VALUE"""),"копия")</f>
        <v>копия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IFERROR(__xludf.DUMMYFUNCTION("""COMPUTED_VALUE"""),"Забоева И.В.")</f>
        <v>Забоева И.В.</v>
      </c>
      <c r="C8" s="20">
        <f ca="1">IFERROR(__xludf.DUMMYFUNCTION("""COMPUTED_VALUE"""),5)</f>
        <v>5</v>
      </c>
      <c r="D8" s="5" t="str">
        <f ca="1">IFERROR(__xludf.DUMMYFUNCTION("""COMPUTED_VALUE"""),"ВЕТ")</f>
        <v>ВЕТ</v>
      </c>
      <c r="E8" s="20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IFERROR(__xludf.DUMMYFUNCTION("""COMPUTED_VALUE"""),"Попова А.Е.")</f>
        <v>Попова А.Е.</v>
      </c>
      <c r="C9" s="23">
        <f ca="1">IFERROR(__xludf.DUMMYFUNCTION("""COMPUTED_VALUE"""),4.94)</f>
        <v>4.9400000000000004</v>
      </c>
      <c r="D9" s="5" t="str">
        <f ca="1">IFERROR(__xludf.DUMMYFUNCTION("""COMPUTED_VALUE"""),"ВЕТ")</f>
        <v>ВЕТ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IFERROR(__xludf.DUMMYFUNCTION("""COMPUTED_VALUE"""),"Чуркина Д.А.")</f>
        <v>Чуркина Д.А.</v>
      </c>
      <c r="C10" s="20">
        <f ca="1">IFERROR(__xludf.DUMMYFUNCTION("""COMPUTED_VALUE"""),4.85)</f>
        <v>4.8499999999999996</v>
      </c>
      <c r="D10" s="5" t="str">
        <f ca="1">IFERROR(__xludf.DUMMYFUNCTION("""COMPUTED_VALUE"""),"ВЕТ")</f>
        <v>ВЕТ</v>
      </c>
      <c r="E10" s="20" t="str">
        <f ca="1">IFERROR(__xludf.DUMMYFUNCTION("""COMPUTED_VALUE"""),"оригинал")</f>
        <v>оригинал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IFERROR(__xludf.DUMMYFUNCTION("""COMPUTED_VALUE"""),"Панюкова Ю.А.")</f>
        <v>Панюкова Ю.А.</v>
      </c>
      <c r="C11" s="23">
        <f ca="1">IFERROR(__xludf.DUMMYFUNCTION("""COMPUTED_VALUE"""),4.73)</f>
        <v>4.7300000000000004</v>
      </c>
      <c r="D11" s="5" t="str">
        <f ca="1">IFERROR(__xludf.DUMMYFUNCTION("""COMPUTED_VALUE"""),"ВЕТ")</f>
        <v>ВЕТ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IFERROR(__xludf.DUMMYFUNCTION("""COMPUTED_VALUE"""),"Ладанов П.В.")</f>
        <v>Ладанов П.В.</v>
      </c>
      <c r="C12" s="23">
        <f ca="1">IFERROR(__xludf.DUMMYFUNCTION("""COMPUTED_VALUE"""),4.6)</f>
        <v>4.5999999999999996</v>
      </c>
      <c r="D12" s="5" t="str">
        <f ca="1">IFERROR(__xludf.DUMMYFUNCTION("""COMPUTED_VALUE"""),"ВЕТ")</f>
        <v>ВЕТ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 t="str">
        <f ca="1">IFERROR(__xludf.DUMMYFUNCTION("""COMPUTED_VALUE"""),"Катюха К.И")</f>
        <v>Катюха К.И</v>
      </c>
      <c r="C13" s="20">
        <f ca="1">IFERROR(__xludf.DUMMYFUNCTION("""COMPUTED_VALUE"""),4.6)</f>
        <v>4.5999999999999996</v>
      </c>
      <c r="D13" s="5" t="str">
        <f ca="1">IFERROR(__xludf.DUMMYFUNCTION("""COMPUTED_VALUE"""),"ВЕТ")</f>
        <v>ВЕТ</v>
      </c>
      <c r="E13" s="20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 t="str">
        <f ca="1">IFERROR(__xludf.DUMMYFUNCTION("""COMPUTED_VALUE"""),"Перцева В.А.")</f>
        <v>Перцева В.А.</v>
      </c>
      <c r="C14" s="20">
        <f ca="1">IFERROR(__xludf.DUMMYFUNCTION("""COMPUTED_VALUE"""),4.55)</f>
        <v>4.55</v>
      </c>
      <c r="D14" s="5" t="str">
        <f ca="1">IFERROR(__xludf.DUMMYFUNCTION("""COMPUTED_VALUE"""),"ВЕТ")</f>
        <v>ВЕТ</v>
      </c>
      <c r="E14" s="20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 t="str">
        <f ca="1">IFERROR(__xludf.DUMMYFUNCTION("""COMPUTED_VALUE"""),"Петечела П.Д.")</f>
        <v>Петечела П.Д.</v>
      </c>
      <c r="C15" s="23">
        <f ca="1">IFERROR(__xludf.DUMMYFUNCTION("""COMPUTED_VALUE"""),4.55)</f>
        <v>4.55</v>
      </c>
      <c r="D15" s="6" t="str">
        <f ca="1">IFERROR(__xludf.DUMMYFUNCTION("""COMPUTED_VALUE"""),"ВЕТ")</f>
        <v>ВЕТ</v>
      </c>
      <c r="E15" s="20" t="str">
        <f ca="1">IFERROR(__xludf.DUMMYFUNCTION("""COMPUTED_VALUE"""),"копия")</f>
        <v>копия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 t="str">
        <f ca="1">IFERROR(__xludf.DUMMYFUNCTION("""COMPUTED_VALUE"""),"Моисеева Е.А.")</f>
        <v>Моисеева Е.А.</v>
      </c>
      <c r="C16" s="23">
        <f ca="1">IFERROR(__xludf.DUMMYFUNCTION("""COMPUTED_VALUE"""),4.53)</f>
        <v>4.53</v>
      </c>
      <c r="D16" s="6" t="str">
        <f ca="1">IFERROR(__xludf.DUMMYFUNCTION("""COMPUTED_VALUE"""),"ВЕТ")</f>
        <v>ВЕТ</v>
      </c>
      <c r="E16" s="20" t="str">
        <f ca="1">IFERROR(__xludf.DUMMYFUNCTION("""COMPUTED_VALUE"""),"копия")</f>
        <v>копия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 t="str">
        <f ca="1">IFERROR(__xludf.DUMMYFUNCTION("""COMPUTED_VALUE"""),"Соколова К.Г.")</f>
        <v>Соколова К.Г.</v>
      </c>
      <c r="C17" s="20">
        <f ca="1">IFERROR(__xludf.DUMMYFUNCTION("""COMPUTED_VALUE"""),4.5)</f>
        <v>4.5</v>
      </c>
      <c r="D17" s="6" t="str">
        <f ca="1">IFERROR(__xludf.DUMMYFUNCTION("""COMPUTED_VALUE"""),"ВЕТ")</f>
        <v>ВЕТ</v>
      </c>
      <c r="E17" s="20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0" t="str">
        <f ca="1">IFERROR(__xludf.DUMMYFUNCTION("""COMPUTED_VALUE"""),"Галева Д.Е.")</f>
        <v>Галева Д.Е.</v>
      </c>
      <c r="C18" s="20">
        <f ca="1">IFERROR(__xludf.DUMMYFUNCTION("""COMPUTED_VALUE"""),4.41)</f>
        <v>4.41</v>
      </c>
      <c r="D18" s="6" t="str">
        <f ca="1">IFERROR(__xludf.DUMMYFUNCTION("""COMPUTED_VALUE"""),"ВЕТ")</f>
        <v>ВЕТ</v>
      </c>
      <c r="E18" s="20" t="str">
        <f ca="1">IFERROR(__xludf.DUMMYFUNCTION("""COMPUTED_VALUE"""),"оригинал ")</f>
        <v xml:space="preserve">оригинал 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0" t="str">
        <f ca="1">IFERROR(__xludf.DUMMYFUNCTION("""COMPUTED_VALUE"""),"Мельничук Е.В.")</f>
        <v>Мельничук Е.В.</v>
      </c>
      <c r="C19" s="20">
        <f ca="1">IFERROR(__xludf.DUMMYFUNCTION("""COMPUTED_VALUE"""),4.38)</f>
        <v>4.38</v>
      </c>
      <c r="D19" s="6" t="str">
        <f ca="1">IFERROR(__xludf.DUMMYFUNCTION("""COMPUTED_VALUE"""),"ВЕТ")</f>
        <v>ВЕТ</v>
      </c>
      <c r="E19" s="20" t="str">
        <f ca="1">IFERROR(__xludf.DUMMYFUNCTION("""COMPUTED_VALUE"""),"оригинал")</f>
        <v>оригинал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6" t="str">
        <f ca="1">IFERROR(__xludf.DUMMYFUNCTION("""COMPUTED_VALUE"""),"Копылова П.А.")</f>
        <v>Копылова П.А.</v>
      </c>
      <c r="C20" s="22">
        <f ca="1">IFERROR(__xludf.DUMMYFUNCTION("""COMPUTED_VALUE"""),4.37)</f>
        <v>4.37</v>
      </c>
      <c r="D20" s="6" t="str">
        <f ca="1">IFERROR(__xludf.DUMMYFUNCTION("""COMPUTED_VALUE"""),"ВЕТ")</f>
        <v>ВЕТ</v>
      </c>
      <c r="E20" s="20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0" t="str">
        <f ca="1">IFERROR(__xludf.DUMMYFUNCTION("""COMPUTED_VALUE"""),"Копылова П. А.")</f>
        <v>Копылова П. А.</v>
      </c>
      <c r="C21" s="22">
        <f ca="1">IFERROR(__xludf.DUMMYFUNCTION("""COMPUTED_VALUE"""),4.37)</f>
        <v>4.37</v>
      </c>
      <c r="D21" s="6" t="str">
        <f ca="1">IFERROR(__xludf.DUMMYFUNCTION("""COMPUTED_VALUE"""),"ВЕТ")</f>
        <v>ВЕТ</v>
      </c>
      <c r="E21" s="20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0" t="str">
        <f ca="1">IFERROR(__xludf.DUMMYFUNCTION("""COMPUTED_VALUE"""),"Рогова М.В.")</f>
        <v>Рогова М.В.</v>
      </c>
      <c r="C22" s="20">
        <f ca="1">IFERROR(__xludf.DUMMYFUNCTION("""COMPUTED_VALUE"""),4.36)</f>
        <v>4.3600000000000003</v>
      </c>
      <c r="D22" s="6" t="str">
        <f ca="1">IFERROR(__xludf.DUMMYFUNCTION("""COMPUTED_VALUE"""),"ВЕТ")</f>
        <v>ВЕТ</v>
      </c>
      <c r="E22" s="20" t="str">
        <f ca="1">IFERROR(__xludf.DUMMYFUNCTION("""COMPUTED_VALUE"""),"копия")</f>
        <v>копия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0" t="str">
        <f ca="1">IFERROR(__xludf.DUMMYFUNCTION("""COMPUTED_VALUE"""),"Кравченко Е. А.")</f>
        <v>Кравченко Е. А.</v>
      </c>
      <c r="C23" s="20">
        <f ca="1">IFERROR(__xludf.DUMMYFUNCTION("""COMPUTED_VALUE"""),4.36)</f>
        <v>4.3600000000000003</v>
      </c>
      <c r="D23" s="6" t="str">
        <f ca="1">IFERROR(__xludf.DUMMYFUNCTION("""COMPUTED_VALUE"""),"ВЕТ")</f>
        <v>ВЕТ</v>
      </c>
      <c r="E23" s="20" t="str">
        <f ca="1">IFERROR(__xludf.DUMMYFUNCTION("""COMPUTED_VALUE"""),"оригинал ")</f>
        <v xml:space="preserve">оригинал 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0" t="str">
        <f ca="1">IFERROR(__xludf.DUMMYFUNCTION("""COMPUTED_VALUE"""),"Терентьева Т.Р.")</f>
        <v>Терентьева Т.Р.</v>
      </c>
      <c r="C24" s="23">
        <f ca="1">IFERROR(__xludf.DUMMYFUNCTION("""COMPUTED_VALUE"""),4.36)</f>
        <v>4.3600000000000003</v>
      </c>
      <c r="D24" s="6" t="str">
        <f ca="1">IFERROR(__xludf.DUMMYFUNCTION("""COMPUTED_VALUE"""),"ВЕТ")</f>
        <v>ВЕТ</v>
      </c>
      <c r="E24" s="20" t="str">
        <f ca="1">IFERROR(__xludf.DUMMYFUNCTION("""COMPUTED_VALUE"""),"копия")</f>
        <v>копия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19" t="str">
        <f ca="1">IFERROR(__xludf.DUMMYFUNCTION("""COMPUTED_VALUE"""),"Пигулина В.А.")</f>
        <v>Пигулина В.А.</v>
      </c>
      <c r="C25" s="19">
        <f ca="1">IFERROR(__xludf.DUMMYFUNCTION("""COMPUTED_VALUE"""),4.33)</f>
        <v>4.33</v>
      </c>
      <c r="D25" s="6" t="str">
        <f ca="1">IFERROR(__xludf.DUMMYFUNCTION("""COMPUTED_VALUE"""),"ВЕТ")</f>
        <v>ВЕТ</v>
      </c>
      <c r="E25" s="20" t="str">
        <f ca="1">IFERROR(__xludf.DUMMYFUNCTION("""COMPUTED_VALUE"""),"оригинал ")</f>
        <v xml:space="preserve">оригинал 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19" t="str">
        <f ca="1">IFERROR(__xludf.DUMMYFUNCTION("""COMPUTED_VALUE"""),"Чувьюрова Е.С.")</f>
        <v>Чувьюрова Е.С.</v>
      </c>
      <c r="C26" s="19">
        <f ca="1">IFERROR(__xludf.DUMMYFUNCTION("""COMPUTED_VALUE"""),4.31)</f>
        <v>4.3099999999999996</v>
      </c>
      <c r="D26" s="6" t="str">
        <f ca="1">IFERROR(__xludf.DUMMYFUNCTION("""COMPUTED_VALUE"""),"ВЕТ")</f>
        <v>ВЕТ</v>
      </c>
      <c r="E26" s="20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19" t="str">
        <f ca="1">IFERROR(__xludf.DUMMYFUNCTION("""COMPUTED_VALUE"""),"Чувьюрова Е.С.")</f>
        <v>Чувьюрова Е.С.</v>
      </c>
      <c r="C27" s="29">
        <f ca="1">IFERROR(__xludf.DUMMYFUNCTION("""COMPUTED_VALUE"""),4.31)</f>
        <v>4.3099999999999996</v>
      </c>
      <c r="D27" s="6" t="str">
        <f ca="1">IFERROR(__xludf.DUMMYFUNCTION("""COMPUTED_VALUE"""),"ВЕТ")</f>
        <v>ВЕТ</v>
      </c>
      <c r="E27" s="20" t="str">
        <f ca="1">IFERROR(__xludf.DUMMYFUNCTION("""COMPUTED_VALUE"""),"оригинал")</f>
        <v>оригинал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19" t="str">
        <f ca="1">IFERROR(__xludf.DUMMYFUNCTION("""COMPUTED_VALUE"""),"Забоева М.А.")</f>
        <v>Забоева М.А.</v>
      </c>
      <c r="C28" s="19">
        <f ca="1">IFERROR(__xludf.DUMMYFUNCTION("""COMPUTED_VALUE"""),4.3)</f>
        <v>4.3</v>
      </c>
      <c r="D28" s="6" t="str">
        <f ca="1">IFERROR(__xludf.DUMMYFUNCTION("""COMPUTED_VALUE"""),"ВЕТ")</f>
        <v>ВЕТ</v>
      </c>
      <c r="E28" s="20" t="str">
        <f ca="1">IFERROR(__xludf.DUMMYFUNCTION("""COMPUTED_VALUE"""),"копия")</f>
        <v>копия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19" t="str">
        <f ca="1">IFERROR(__xludf.DUMMYFUNCTION("""COMPUTED_VALUE"""),"Игнатова Э.Д.")</f>
        <v>Игнатова Э.Д.</v>
      </c>
      <c r="C29" s="29">
        <f ca="1">IFERROR(__xludf.DUMMYFUNCTION("""COMPUTED_VALUE"""),4.3)</f>
        <v>4.3</v>
      </c>
      <c r="D29" s="6" t="str">
        <f ca="1">IFERROR(__xludf.DUMMYFUNCTION("""COMPUTED_VALUE"""),"ВЕТ")</f>
        <v>ВЕТ</v>
      </c>
      <c r="E29" s="20" t="str">
        <f ca="1">IFERROR(__xludf.DUMMYFUNCTION("""COMPUTED_VALUE"""),"оригинал ")</f>
        <v xml:space="preserve">оригинал 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9">
        <v>24</v>
      </c>
      <c r="B30" s="19" t="str">
        <f ca="1">IFERROR(__xludf.DUMMYFUNCTION("""COMPUTED_VALUE"""),"Леонова А. А.")</f>
        <v>Леонова А. А.</v>
      </c>
      <c r="C30" s="29">
        <f ca="1">IFERROR(__xludf.DUMMYFUNCTION("""COMPUTED_VALUE"""),4.29)</f>
        <v>4.29</v>
      </c>
      <c r="D30" s="6" t="str">
        <f ca="1">IFERROR(__xludf.DUMMYFUNCTION("""COMPUTED_VALUE"""),"ВЕТ")</f>
        <v>ВЕТ</v>
      </c>
      <c r="E30" s="20" t="str">
        <f ca="1">IFERROR(__xludf.DUMMYFUNCTION("""COMPUTED_VALUE"""),"оригинал")</f>
        <v>оригинал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9">
        <v>25</v>
      </c>
      <c r="B31" s="19" t="str">
        <f ca="1">IFERROR(__xludf.DUMMYFUNCTION("""COMPUTED_VALUE"""),"Осипова Е. А.")</f>
        <v>Осипова Е. А.</v>
      </c>
      <c r="C31" s="29">
        <f ca="1">IFERROR(__xludf.DUMMYFUNCTION("""COMPUTED_VALUE"""),4.28)</f>
        <v>4.28</v>
      </c>
      <c r="D31" s="6" t="str">
        <f ca="1">IFERROR(__xludf.DUMMYFUNCTION("""COMPUTED_VALUE"""),"ВЕТ")</f>
        <v>ВЕТ</v>
      </c>
      <c r="E31" s="20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9">
        <v>26</v>
      </c>
      <c r="B32" s="19" t="str">
        <f ca="1">IFERROR(__xludf.DUMMYFUNCTION("""COMPUTED_VALUE"""),"Фролова Е.Д.")</f>
        <v>Фролова Е.Д.</v>
      </c>
      <c r="C32" s="33">
        <f ca="1">IFERROR(__xludf.DUMMYFUNCTION("""COMPUTED_VALUE"""),4.25)</f>
        <v>4.25</v>
      </c>
      <c r="D32" s="6" t="str">
        <f ca="1">IFERROR(__xludf.DUMMYFUNCTION("""COMPUTED_VALUE"""),"ВЕТ")</f>
        <v>ВЕТ</v>
      </c>
      <c r="E32" s="20" t="str">
        <f ca="1">IFERROR(__xludf.DUMMYFUNCTION("""COMPUTED_VALUE"""),"оригинал ")</f>
        <v xml:space="preserve">оригинал 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19">
        <v>27</v>
      </c>
      <c r="B33" s="19" t="str">
        <f ca="1">IFERROR(__xludf.DUMMYFUNCTION("""COMPUTED_VALUE"""),"Барахова Д.М")</f>
        <v>Барахова Д.М</v>
      </c>
      <c r="C33" s="33">
        <f ca="1">IFERROR(__xludf.DUMMYFUNCTION("""COMPUTED_VALUE"""),4.24)</f>
        <v>4.24</v>
      </c>
      <c r="D33" s="6" t="str">
        <f ca="1">IFERROR(__xludf.DUMMYFUNCTION("""COMPUTED_VALUE"""),"ВЕТ")</f>
        <v>ВЕТ</v>
      </c>
      <c r="E33" s="20" t="str">
        <f ca="1">IFERROR(__xludf.DUMMYFUNCTION("""COMPUTED_VALUE"""),"копия")</f>
        <v>копия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>
      <c r="A34" s="19">
        <v>28</v>
      </c>
      <c r="B34" s="19" t="str">
        <f ca="1">IFERROR(__xludf.DUMMYFUNCTION("""COMPUTED_VALUE"""),"Попова К.Е.")</f>
        <v>Попова К.Е.</v>
      </c>
      <c r="C34" s="33">
        <f ca="1">IFERROR(__xludf.DUMMYFUNCTION("""COMPUTED_VALUE"""),4.21)</f>
        <v>4.21</v>
      </c>
      <c r="D34" s="6" t="str">
        <f ca="1">IFERROR(__xludf.DUMMYFUNCTION("""COMPUTED_VALUE"""),"ВЕТ")</f>
        <v>ВЕТ</v>
      </c>
      <c r="E34" s="20" t="str">
        <f ca="1">IFERROR(__xludf.DUMMYFUNCTION("""COMPUTED_VALUE"""),"оригинал")</f>
        <v>оригинал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>
      <c r="A35" s="19">
        <v>29</v>
      </c>
      <c r="B35" s="19" t="str">
        <f ca="1">IFERROR(__xludf.DUMMYFUNCTION("""COMPUTED_VALUE"""),"Долгова Ю.О.")</f>
        <v>Долгова Ю.О.</v>
      </c>
      <c r="C35" s="33">
        <f ca="1">IFERROR(__xludf.DUMMYFUNCTION("""COMPUTED_VALUE"""),4.21)</f>
        <v>4.21</v>
      </c>
      <c r="D35" s="6" t="str">
        <f ca="1">IFERROR(__xludf.DUMMYFUNCTION("""COMPUTED_VALUE"""),"ВЕТ")</f>
        <v>ВЕТ</v>
      </c>
      <c r="E35" s="20" t="str">
        <f ca="1">IFERROR(__xludf.DUMMYFUNCTION("""COMPUTED_VALUE"""),"копия")</f>
        <v>копия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>
      <c r="A36" s="19">
        <v>30</v>
      </c>
      <c r="B36" s="19" t="str">
        <f ca="1">IFERROR(__xludf.DUMMYFUNCTION("""COMPUTED_VALUE"""),"Опря Л.Р.")</f>
        <v>Опря Л.Р.</v>
      </c>
      <c r="C36" s="19">
        <f ca="1">IFERROR(__xludf.DUMMYFUNCTION("""COMPUTED_VALUE"""),4.16)</f>
        <v>4.16</v>
      </c>
      <c r="D36" s="6" t="str">
        <f ca="1">IFERROR(__xludf.DUMMYFUNCTION("""COMPUTED_VALUE"""),"ВЕТ")</f>
        <v>ВЕТ</v>
      </c>
      <c r="E36" s="20" t="str">
        <f ca="1">IFERROR(__xludf.DUMMYFUNCTION("""COMPUTED_VALUE"""),"оригинал")</f>
        <v>оригинал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>
      <c r="A37" s="19">
        <v>31</v>
      </c>
      <c r="B37" s="19" t="str">
        <f ca="1">IFERROR(__xludf.DUMMYFUNCTION("""COMPUTED_VALUE"""),"Кузнецова М.С.")</f>
        <v>Кузнецова М.С.</v>
      </c>
      <c r="C37" s="33">
        <f ca="1">IFERROR(__xludf.DUMMYFUNCTION("""COMPUTED_VALUE"""),4.15)</f>
        <v>4.1500000000000004</v>
      </c>
      <c r="D37" s="6" t="str">
        <f ca="1">IFERROR(__xludf.DUMMYFUNCTION("""COMPUTED_VALUE"""),"ВЕТ")</f>
        <v>ВЕТ</v>
      </c>
      <c r="E37" s="20" t="str">
        <f ca="1">IFERROR(__xludf.DUMMYFUNCTION("""COMPUTED_VALUE"""),"копия")</f>
        <v>копия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.5" customHeight="1">
      <c r="A38" s="19">
        <v>32</v>
      </c>
      <c r="B38" s="19" t="str">
        <f ca="1">IFERROR(__xludf.DUMMYFUNCTION("""COMPUTED_VALUE"""),"Голенкова А.О.")</f>
        <v>Голенкова А.О.</v>
      </c>
      <c r="C38" s="33">
        <f ca="1">IFERROR(__xludf.DUMMYFUNCTION("""COMPUTED_VALUE"""),4.15)</f>
        <v>4.1500000000000004</v>
      </c>
      <c r="D38" s="6" t="str">
        <f ca="1">IFERROR(__xludf.DUMMYFUNCTION("""COMPUTED_VALUE"""),"ВЕТ")</f>
        <v>ВЕТ</v>
      </c>
      <c r="E38" s="20" t="str">
        <f ca="1">IFERROR(__xludf.DUMMYFUNCTION("""COMPUTED_VALUE"""),"копия")</f>
        <v>копия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.5" customHeight="1">
      <c r="A39" s="19">
        <v>33</v>
      </c>
      <c r="B39" s="19" t="str">
        <f ca="1">IFERROR(__xludf.DUMMYFUNCTION("""COMPUTED_VALUE"""),"Габов А.Н.")</f>
        <v>Габов А.Н.</v>
      </c>
      <c r="C39" s="19">
        <f ca="1">IFERROR(__xludf.DUMMYFUNCTION("""COMPUTED_VALUE"""),4.12)</f>
        <v>4.12</v>
      </c>
      <c r="D39" s="6" t="str">
        <f ca="1">IFERROR(__xludf.DUMMYFUNCTION("""COMPUTED_VALUE"""),"ВЕТ")</f>
        <v>ВЕТ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>
      <c r="A40" s="19">
        <v>34</v>
      </c>
      <c r="B40" s="19" t="str">
        <f ca="1">IFERROR(__xludf.DUMMYFUNCTION("""COMPUTED_VALUE"""),"Габова Н. В.")</f>
        <v>Габова Н. В.</v>
      </c>
      <c r="C40" s="29">
        <f ca="1">IFERROR(__xludf.DUMMYFUNCTION("""COMPUTED_VALUE"""),4.12)</f>
        <v>4.12</v>
      </c>
      <c r="D40" s="6" t="str">
        <f ca="1">IFERROR(__xludf.DUMMYFUNCTION("""COMPUTED_VALUE"""),"ВЕТ")</f>
        <v>ВЕТ</v>
      </c>
      <c r="E40" s="20" t="str">
        <f ca="1">IFERROR(__xludf.DUMMYFUNCTION("""COMPUTED_VALUE"""),"оригинал ")</f>
        <v xml:space="preserve">оригинал 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>
      <c r="A41" s="19">
        <v>35</v>
      </c>
      <c r="B41" s="19" t="str">
        <f ca="1">IFERROR(__xludf.DUMMYFUNCTION("""COMPUTED_VALUE"""),"Ципирева М.М.")</f>
        <v>Ципирева М.М.</v>
      </c>
      <c r="C41" s="33">
        <f ca="1">IFERROR(__xludf.DUMMYFUNCTION("""COMPUTED_VALUE"""),4.11)</f>
        <v>4.1100000000000003</v>
      </c>
      <c r="D41" s="6" t="str">
        <f ca="1">IFERROR(__xludf.DUMMYFUNCTION("""COMPUTED_VALUE"""),"ВЕТ")</f>
        <v>ВЕТ</v>
      </c>
      <c r="E41" s="20" t="str">
        <f ca="1">IFERROR(__xludf.DUMMYFUNCTION("""COMPUTED_VALUE"""),"оригинал")</f>
        <v>оригинал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customHeight="1">
      <c r="A42" s="19">
        <v>36</v>
      </c>
      <c r="B42" s="19" t="str">
        <f ca="1">IFERROR(__xludf.DUMMYFUNCTION("""COMPUTED_VALUE"""),"Зубова Д.Ю.")</f>
        <v>Зубова Д.Ю.</v>
      </c>
      <c r="C42" s="19">
        <f ca="1">IFERROR(__xludf.DUMMYFUNCTION("""COMPUTED_VALUE"""),4.11)</f>
        <v>4.1100000000000003</v>
      </c>
      <c r="D42" s="6" t="str">
        <f ca="1">IFERROR(__xludf.DUMMYFUNCTION("""COMPUTED_VALUE"""),"ВЕТ")</f>
        <v>ВЕТ</v>
      </c>
      <c r="E42" s="20" t="str">
        <f ca="1">IFERROR(__xludf.DUMMYFUNCTION("""COMPUTED_VALUE"""),"оригинал")</f>
        <v>оригинал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>
      <c r="A43" s="19">
        <v>37</v>
      </c>
      <c r="B43" s="19" t="str">
        <f ca="1">IFERROR(__xludf.DUMMYFUNCTION("""COMPUTED_VALUE"""),"Мелешева В.С.")</f>
        <v>Мелешева В.С.</v>
      </c>
      <c r="C43" s="19">
        <f ca="1">IFERROR(__xludf.DUMMYFUNCTION("""COMPUTED_VALUE"""),4.1)</f>
        <v>4.0999999999999996</v>
      </c>
      <c r="D43" s="6" t="str">
        <f ca="1">IFERROR(__xludf.DUMMYFUNCTION("""COMPUTED_VALUE"""),"ВЕТ")</f>
        <v>ВЕТ</v>
      </c>
      <c r="E43" s="20" t="str">
        <f ca="1">IFERROR(__xludf.DUMMYFUNCTION("""COMPUTED_VALUE"""),"оригинал")</f>
        <v>оригинал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customHeight="1">
      <c r="A44" s="19">
        <v>38</v>
      </c>
      <c r="B44" s="19" t="str">
        <f ca="1">IFERROR(__xludf.DUMMYFUNCTION("""COMPUTED_VALUE"""),"Момотова В.Е.")</f>
        <v>Момотова В.Е.</v>
      </c>
      <c r="C44" s="19">
        <f ca="1">IFERROR(__xludf.DUMMYFUNCTION("""COMPUTED_VALUE"""),4.1)</f>
        <v>4.0999999999999996</v>
      </c>
      <c r="D44" s="6" t="str">
        <f ca="1">IFERROR(__xludf.DUMMYFUNCTION("""COMPUTED_VALUE"""),"ВЕТ")</f>
        <v>ВЕТ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>
      <c r="A45" s="19">
        <v>39</v>
      </c>
      <c r="B45" s="19" t="str">
        <f ca="1">IFERROR(__xludf.DUMMYFUNCTION("""COMPUTED_VALUE"""),"Муравьева Э.Е.")</f>
        <v>Муравьева Э.Е.</v>
      </c>
      <c r="C45" s="33">
        <f ca="1">IFERROR(__xludf.DUMMYFUNCTION("""COMPUTED_VALUE"""),4.1)</f>
        <v>4.0999999999999996</v>
      </c>
      <c r="D45" s="6" t="str">
        <f ca="1">IFERROR(__xludf.DUMMYFUNCTION("""COMPUTED_VALUE"""),"ВЕТ")</f>
        <v>ВЕТ</v>
      </c>
      <c r="E45" s="20" t="str">
        <f ca="1">IFERROR(__xludf.DUMMYFUNCTION("""COMPUTED_VALUE"""),"оригинал")</f>
        <v>оригинал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.5" customHeight="1">
      <c r="A46" s="19">
        <v>40</v>
      </c>
      <c r="B46" s="19" t="str">
        <f ca="1">IFERROR(__xludf.DUMMYFUNCTION("""COMPUTED_VALUE"""),"Кудашкина К.Е.")</f>
        <v>Кудашкина К.Е.</v>
      </c>
      <c r="C46" s="33">
        <f ca="1">IFERROR(__xludf.DUMMYFUNCTION("""COMPUTED_VALUE"""),4.05)</f>
        <v>4.05</v>
      </c>
      <c r="D46" s="6" t="str">
        <f ca="1">IFERROR(__xludf.DUMMYFUNCTION("""COMPUTED_VALUE"""),"ВЕТ")</f>
        <v>ВЕТ</v>
      </c>
      <c r="E46" s="20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.5" customHeight="1">
      <c r="A47" s="19">
        <v>41</v>
      </c>
      <c r="B47" s="19" t="str">
        <f ca="1">IFERROR(__xludf.DUMMYFUNCTION("""COMPUTED_VALUE"""),"Колипова Л.А.")</f>
        <v>Колипова Л.А.</v>
      </c>
      <c r="C47" s="33">
        <f ca="1">IFERROR(__xludf.DUMMYFUNCTION("""COMPUTED_VALUE"""),4.05)</f>
        <v>4.05</v>
      </c>
      <c r="D47" s="6" t="str">
        <f ca="1">IFERROR(__xludf.DUMMYFUNCTION("""COMPUTED_VALUE"""),"ВЕТ")</f>
        <v>ВЕТ</v>
      </c>
      <c r="E47" s="20" t="str">
        <f ca="1">IFERROR(__xludf.DUMMYFUNCTION("""COMPUTED_VALUE"""),"оригинал")</f>
        <v>оригинал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.5" customHeight="1">
      <c r="A48" s="19">
        <v>42</v>
      </c>
      <c r="B48" s="19" t="str">
        <f ca="1">IFERROR(__xludf.DUMMYFUNCTION("""COMPUTED_VALUE"""),"Денисов В.В.")</f>
        <v>Денисов В.В.</v>
      </c>
      <c r="C48" s="19">
        <f ca="1">IFERROR(__xludf.DUMMYFUNCTION("""COMPUTED_VALUE"""),4.05)</f>
        <v>4.05</v>
      </c>
      <c r="D48" s="6" t="str">
        <f ca="1">IFERROR(__xludf.DUMMYFUNCTION("""COMPUTED_VALUE"""),"ВЕТ")</f>
        <v>ВЕТ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>
      <c r="A49" s="19">
        <v>43</v>
      </c>
      <c r="B49" s="19" t="str">
        <f ca="1">IFERROR(__xludf.DUMMYFUNCTION("""COMPUTED_VALUE"""),"Минина А.И.")</f>
        <v>Минина А.И.</v>
      </c>
      <c r="C49" s="19">
        <f ca="1">IFERROR(__xludf.DUMMYFUNCTION("""COMPUTED_VALUE"""),4.05)</f>
        <v>4.05</v>
      </c>
      <c r="D49" s="6" t="str">
        <f ca="1">IFERROR(__xludf.DUMMYFUNCTION("""COMPUTED_VALUE"""),"ВЕТ")</f>
        <v>ВЕТ</v>
      </c>
      <c r="E49" s="20" t="str">
        <f ca="1">IFERROR(__xludf.DUMMYFUNCTION("""COMPUTED_VALUE"""),"оригинал")</f>
        <v>оригинал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>
      <c r="A50" s="19">
        <v>44</v>
      </c>
      <c r="B50" s="19" t="str">
        <f ca="1">IFERROR(__xludf.DUMMYFUNCTION("""COMPUTED_VALUE"""),"Силина О.С.")</f>
        <v>Силина О.С.</v>
      </c>
      <c r="C50" s="19">
        <f ca="1">IFERROR(__xludf.DUMMYFUNCTION("""COMPUTED_VALUE"""),4.05)</f>
        <v>4.05</v>
      </c>
      <c r="D50" s="6" t="str">
        <f ca="1">IFERROR(__xludf.DUMMYFUNCTION("""COMPUTED_VALUE"""),"ВЕТ")</f>
        <v>ВЕТ</v>
      </c>
      <c r="E50" s="20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>
      <c r="A51" s="19">
        <v>45</v>
      </c>
      <c r="B51" s="19" t="str">
        <f ca="1">IFERROR(__xludf.DUMMYFUNCTION("""COMPUTED_VALUE"""),"Попова Е.А.")</f>
        <v>Попова Е.А.</v>
      </c>
      <c r="C51" s="19">
        <f ca="1">IFERROR(__xludf.DUMMYFUNCTION("""COMPUTED_VALUE"""),4.05)</f>
        <v>4.05</v>
      </c>
      <c r="D51" s="6" t="str">
        <f ca="1">IFERROR(__xludf.DUMMYFUNCTION("""COMPUTED_VALUE"""),"ВЕТ")</f>
        <v>ВЕТ</v>
      </c>
      <c r="E51" s="20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>
      <c r="A52" s="19">
        <v>46</v>
      </c>
      <c r="B52" s="19" t="str">
        <f ca="1">IFERROR(__xludf.DUMMYFUNCTION("""COMPUTED_VALUE"""),"Попов А.А.")</f>
        <v>Попов А.А.</v>
      </c>
      <c r="C52" s="33">
        <f ca="1">IFERROR(__xludf.DUMMYFUNCTION("""COMPUTED_VALUE"""),4.05)</f>
        <v>4.05</v>
      </c>
      <c r="D52" s="6" t="str">
        <f ca="1">IFERROR(__xludf.DUMMYFUNCTION("""COMPUTED_VALUE"""),"ВЕТ")</f>
        <v>ВЕТ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.5" customHeight="1">
      <c r="A53" s="19">
        <v>47</v>
      </c>
      <c r="B53" s="19" t="str">
        <f ca="1">IFERROR(__xludf.DUMMYFUNCTION("""COMPUTED_VALUE"""),"Кузнецова А.Д.")</f>
        <v>Кузнецова А.Д.</v>
      </c>
      <c r="C53" s="33">
        <f ca="1">IFERROR(__xludf.DUMMYFUNCTION("""COMPUTED_VALUE"""),4.05)</f>
        <v>4.05</v>
      </c>
      <c r="D53" s="6" t="str">
        <f ca="1">IFERROR(__xludf.DUMMYFUNCTION("""COMPUTED_VALUE"""),"ВЕТ")</f>
        <v>ВЕТ</v>
      </c>
      <c r="E53" s="20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.5" customHeight="1">
      <c r="A54" s="19">
        <v>48</v>
      </c>
      <c r="B54" s="19" t="str">
        <f ca="1">IFERROR(__xludf.DUMMYFUNCTION("""COMPUTED_VALUE"""),"Терентьев А. А.")</f>
        <v>Терентьев А. А.</v>
      </c>
      <c r="C54" s="29">
        <f ca="1">IFERROR(__xludf.DUMMYFUNCTION("""COMPUTED_VALUE"""),4.05)</f>
        <v>4.05</v>
      </c>
      <c r="D54" s="6" t="str">
        <f ca="1">IFERROR(__xludf.DUMMYFUNCTION("""COMPUTED_VALUE"""),"ВЕТ")</f>
        <v>ВЕТ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>
      <c r="A55" s="19">
        <v>49</v>
      </c>
      <c r="B55" s="19" t="str">
        <f ca="1">IFERROR(__xludf.DUMMYFUNCTION("""COMPUTED_VALUE"""),"Уляшев Б.А.")</f>
        <v>Уляшев Б.А.</v>
      </c>
      <c r="C55" s="33">
        <f ca="1">IFERROR(__xludf.DUMMYFUNCTION("""COMPUTED_VALUE"""),4)</f>
        <v>4</v>
      </c>
      <c r="D55" s="6" t="str">
        <f ca="1">IFERROR(__xludf.DUMMYFUNCTION("""COMPUTED_VALUE"""),"ВЕТ")</f>
        <v>ВЕТ</v>
      </c>
      <c r="E55" s="20" t="str">
        <f ca="1">IFERROR(__xludf.DUMMYFUNCTION("""COMPUTED_VALUE"""),"оригинал")</f>
        <v>оригинал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customHeight="1">
      <c r="A56" s="19">
        <v>50</v>
      </c>
      <c r="B56" s="19" t="str">
        <f ca="1">IFERROR(__xludf.DUMMYFUNCTION("""COMPUTED_VALUE"""),"Сухарева Д.Д.")</f>
        <v>Сухарева Д.Д.</v>
      </c>
      <c r="C56" s="33">
        <f ca="1">IFERROR(__xludf.DUMMYFUNCTION("""COMPUTED_VALUE"""),4)</f>
        <v>4</v>
      </c>
      <c r="D56" s="6" t="str">
        <f ca="1">IFERROR(__xludf.DUMMYFUNCTION("""COMPUTED_VALUE"""),"ВЕТ")</f>
        <v>ВЕТ</v>
      </c>
      <c r="E56" s="20" t="str">
        <f ca="1">IFERROR(__xludf.DUMMYFUNCTION("""COMPUTED_VALUE"""),"оригинал ")</f>
        <v xml:space="preserve">оригинал 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customHeight="1">
      <c r="A57" s="19">
        <v>51</v>
      </c>
      <c r="B57" s="19" t="str">
        <f ca="1">IFERROR(__xludf.DUMMYFUNCTION("""COMPUTED_VALUE"""),"Тоинов А.В.")</f>
        <v>Тоинов А.В.</v>
      </c>
      <c r="C57" s="19">
        <f ca="1">IFERROR(__xludf.DUMMYFUNCTION("""COMPUTED_VALUE"""),4)</f>
        <v>4</v>
      </c>
      <c r="D57" s="6" t="str">
        <f ca="1">IFERROR(__xludf.DUMMYFUNCTION("""COMPUTED_VALUE"""),"ВЕТ")</f>
        <v>ВЕТ</v>
      </c>
      <c r="E57" s="20" t="str">
        <f ca="1">IFERROR(__xludf.DUMMYFUNCTION("""COMPUTED_VALUE"""),"копия")</f>
        <v>копия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customHeight="1">
      <c r="A58" s="19">
        <v>52</v>
      </c>
      <c r="B58" s="19" t="str">
        <f ca="1">IFERROR(__xludf.DUMMYFUNCTION("""COMPUTED_VALUE"""),"Ивашнева А.Р.")</f>
        <v>Ивашнева А.Р.</v>
      </c>
      <c r="C58" s="19">
        <f ca="1">IFERROR(__xludf.DUMMYFUNCTION("""COMPUTED_VALUE"""),4)</f>
        <v>4</v>
      </c>
      <c r="D58" s="6" t="str">
        <f ca="1">IFERROR(__xludf.DUMMYFUNCTION("""COMPUTED_VALUE"""),"ВЕТ")</f>
        <v>ВЕТ</v>
      </c>
      <c r="E58" s="20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.5" customHeight="1">
      <c r="A59" s="19">
        <v>53</v>
      </c>
      <c r="B59" s="19" t="str">
        <f ca="1">IFERROR(__xludf.DUMMYFUNCTION("""COMPUTED_VALUE"""),"Семенова А.О.")</f>
        <v>Семенова А.О.</v>
      </c>
      <c r="C59" s="19">
        <f ca="1">IFERROR(__xludf.DUMMYFUNCTION("""COMPUTED_VALUE"""),4)</f>
        <v>4</v>
      </c>
      <c r="D59" s="6" t="str">
        <f ca="1">IFERROR(__xludf.DUMMYFUNCTION("""COMPUTED_VALUE"""),"ВЕТ")</f>
        <v>ВЕТ</v>
      </c>
      <c r="E59" s="20" t="str">
        <f ca="1">IFERROR(__xludf.DUMMYFUNCTION("""COMPUTED_VALUE"""),"оригинал")</f>
        <v>оригинал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customHeight="1">
      <c r="A60" s="19">
        <v>54</v>
      </c>
      <c r="B60" s="19" t="str">
        <f ca="1">IFERROR(__xludf.DUMMYFUNCTION("""COMPUTED_VALUE"""),"Уляшев Б. А.")</f>
        <v>Уляшев Б. А.</v>
      </c>
      <c r="C60" s="29">
        <f ca="1">IFERROR(__xludf.DUMMYFUNCTION("""COMPUTED_VALUE"""),4)</f>
        <v>4</v>
      </c>
      <c r="D60" s="6" t="str">
        <f ca="1">IFERROR(__xludf.DUMMYFUNCTION("""COMPUTED_VALUE"""),"ВЕТ")</f>
        <v>ВЕТ</v>
      </c>
      <c r="E60" s="20" t="str">
        <f ca="1">IFERROR(__xludf.DUMMYFUNCTION("""COMPUTED_VALUE"""),"оригинал ")</f>
        <v xml:space="preserve">оригинал 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.5" customHeight="1">
      <c r="A61" s="19">
        <v>55</v>
      </c>
      <c r="B61" s="19" t="str">
        <f ca="1">IFERROR(__xludf.DUMMYFUNCTION("""COMPUTED_VALUE"""),"Алексеева А.В.")</f>
        <v>Алексеева А.В.</v>
      </c>
      <c r="C61" s="19">
        <f ca="1">IFERROR(__xludf.DUMMYFUNCTION("""COMPUTED_VALUE"""),3.95)</f>
        <v>3.95</v>
      </c>
      <c r="D61" s="6" t="str">
        <f ca="1">IFERROR(__xludf.DUMMYFUNCTION("""COMPUTED_VALUE"""),"ВЕТ")</f>
        <v>ВЕТ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.5" customHeight="1">
      <c r="A62" s="19">
        <v>56</v>
      </c>
      <c r="B62" s="19" t="str">
        <f ca="1">IFERROR(__xludf.DUMMYFUNCTION("""COMPUTED_VALUE"""),"Елькина С.О.")</f>
        <v>Елькина С.О.</v>
      </c>
      <c r="C62" s="19">
        <f ca="1">IFERROR(__xludf.DUMMYFUNCTION("""COMPUTED_VALUE"""),3.95)</f>
        <v>3.95</v>
      </c>
      <c r="D62" s="6" t="str">
        <f ca="1">IFERROR(__xludf.DUMMYFUNCTION("""COMPUTED_VALUE"""),"ВЕТ")</f>
        <v>ВЕТ</v>
      </c>
      <c r="E62" s="20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.5" customHeight="1">
      <c r="A63" s="19">
        <v>57</v>
      </c>
      <c r="B63" s="19" t="str">
        <f ca="1">IFERROR(__xludf.DUMMYFUNCTION("""COMPUTED_VALUE"""),"Имеле Сабрина Ч М")</f>
        <v>Имеле Сабрина Ч М</v>
      </c>
      <c r="C63" s="19">
        <f ca="1">IFERROR(__xludf.DUMMYFUNCTION("""COMPUTED_VALUE"""),3.95)</f>
        <v>3.95</v>
      </c>
      <c r="D63" s="6" t="str">
        <f ca="1">IFERROR(__xludf.DUMMYFUNCTION("""COMPUTED_VALUE"""),"ВЕТ")</f>
        <v>ВЕТ</v>
      </c>
      <c r="E63" s="20" t="str">
        <f ca="1">IFERROR(__xludf.DUMMYFUNCTION("""COMPUTED_VALUE"""),"оригинал")</f>
        <v>оригинал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.5" customHeight="1">
      <c r="A64" s="19">
        <v>58</v>
      </c>
      <c r="B64" s="19" t="str">
        <f ca="1">IFERROR(__xludf.DUMMYFUNCTION("""COMPUTED_VALUE"""),"Семяшкина В.С")</f>
        <v>Семяшкина В.С</v>
      </c>
      <c r="C64" s="33">
        <f ca="1">IFERROR(__xludf.DUMMYFUNCTION("""COMPUTED_VALUE"""),3.95)</f>
        <v>3.95</v>
      </c>
      <c r="D64" s="6" t="str">
        <f ca="1">IFERROR(__xludf.DUMMYFUNCTION("""COMPUTED_VALUE"""),"ВЕТ")</f>
        <v>ВЕТ</v>
      </c>
      <c r="E64" s="20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.5" customHeight="1">
      <c r="A65" s="19">
        <v>59</v>
      </c>
      <c r="B65" s="19" t="str">
        <f ca="1">IFERROR(__xludf.DUMMYFUNCTION("""COMPUTED_VALUE"""),"Сокерина И.С.")</f>
        <v>Сокерина И.С.</v>
      </c>
      <c r="C65" s="19">
        <f ca="1">IFERROR(__xludf.DUMMYFUNCTION("""COMPUTED_VALUE"""),3.94)</f>
        <v>3.94</v>
      </c>
      <c r="D65" s="6" t="str">
        <f ca="1">IFERROR(__xludf.DUMMYFUNCTION("""COMPUTED_VALUE"""),"ВЕТ")</f>
        <v>ВЕТ</v>
      </c>
      <c r="E65" s="20" t="str">
        <f ca="1">IFERROR(__xludf.DUMMYFUNCTION("""COMPUTED_VALUE"""),"оригинал ")</f>
        <v xml:space="preserve">оригинал 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.5" customHeight="1">
      <c r="A66" s="19">
        <v>60</v>
      </c>
      <c r="B66" s="19" t="str">
        <f ca="1">IFERROR(__xludf.DUMMYFUNCTION("""COMPUTED_VALUE"""),"Малкова Я.Д.")</f>
        <v>Малкова Я.Д.</v>
      </c>
      <c r="C66" s="19">
        <f ca="1">IFERROR(__xludf.DUMMYFUNCTION("""COMPUTED_VALUE"""),3.94)</f>
        <v>3.94</v>
      </c>
      <c r="D66" s="6" t="str">
        <f ca="1">IFERROR(__xludf.DUMMYFUNCTION("""COMPUTED_VALUE"""),"ВЕТ")</f>
        <v>ВЕТ</v>
      </c>
      <c r="E66" s="20" t="str">
        <f ca="1">IFERROR(__xludf.DUMMYFUNCTION("""COMPUTED_VALUE"""),"оригинал ")</f>
        <v xml:space="preserve">оригинал 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.5" customHeight="1">
      <c r="A67" s="19">
        <v>61</v>
      </c>
      <c r="B67" s="19" t="str">
        <f ca="1">IFERROR(__xludf.DUMMYFUNCTION("""COMPUTED_VALUE"""),"Лещикова Д.С.")</f>
        <v>Лещикова Д.С.</v>
      </c>
      <c r="C67" s="19">
        <f ca="1">IFERROR(__xludf.DUMMYFUNCTION("""COMPUTED_VALUE"""),3.94)</f>
        <v>3.94</v>
      </c>
      <c r="D67" s="6" t="str">
        <f ca="1">IFERROR(__xludf.DUMMYFUNCTION("""COMPUTED_VALUE"""),"ВЕТ")</f>
        <v>ВЕТ</v>
      </c>
      <c r="E67" s="20" t="str">
        <f ca="1">IFERROR(__xludf.DUMMYFUNCTION("""COMPUTED_VALUE"""),"оригинал")</f>
        <v>оригинал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.5" customHeight="1">
      <c r="A68" s="19">
        <v>62</v>
      </c>
      <c r="B68" s="19" t="str">
        <f ca="1">IFERROR(__xludf.DUMMYFUNCTION("""COMPUTED_VALUE"""),"Дюлгерова А.Р.")</f>
        <v>Дюлгерова А.Р.</v>
      </c>
      <c r="C68" s="19">
        <f ca="1">IFERROR(__xludf.DUMMYFUNCTION("""COMPUTED_VALUE"""),3.94)</f>
        <v>3.94</v>
      </c>
      <c r="D68" s="6" t="str">
        <f ca="1">IFERROR(__xludf.DUMMYFUNCTION("""COMPUTED_VALUE"""),"ВЕТ")</f>
        <v>ВЕТ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.5" customHeight="1">
      <c r="A69" s="19">
        <v>63</v>
      </c>
      <c r="B69" s="19" t="str">
        <f ca="1">IFERROR(__xludf.DUMMYFUNCTION("""COMPUTED_VALUE"""),"Куликова Д.С.")</f>
        <v>Куликова Д.С.</v>
      </c>
      <c r="C69" s="33">
        <f ca="1">IFERROR(__xludf.DUMMYFUNCTION("""COMPUTED_VALUE"""),3.94)</f>
        <v>3.94</v>
      </c>
      <c r="D69" s="6" t="str">
        <f ca="1">IFERROR(__xludf.DUMMYFUNCTION("""COMPUTED_VALUE"""),"ВЕТ")</f>
        <v>ВЕТ</v>
      </c>
      <c r="E69" s="20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.5" customHeight="1">
      <c r="A70" s="19">
        <v>64</v>
      </c>
      <c r="B70" s="19" t="str">
        <f ca="1">IFERROR(__xludf.DUMMYFUNCTION("""COMPUTED_VALUE"""),"Дадуткина Э.Д.")</f>
        <v>Дадуткина Э.Д.</v>
      </c>
      <c r="C70" s="19">
        <f ca="1">IFERROR(__xludf.DUMMYFUNCTION("""COMPUTED_VALUE"""),3.94)</f>
        <v>3.94</v>
      </c>
      <c r="D70" s="6" t="str">
        <f ca="1">IFERROR(__xludf.DUMMYFUNCTION("""COMPUTED_VALUE"""),"ВЕТ")</f>
        <v>ВЕТ</v>
      </c>
      <c r="E70" s="20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.5" customHeight="1">
      <c r="A71" s="19">
        <v>65</v>
      </c>
      <c r="B71" s="19" t="str">
        <f ca="1">IFERROR(__xludf.DUMMYFUNCTION("""COMPUTED_VALUE"""),"Наймушин Д.А.")</f>
        <v>Наймушин Д.А.</v>
      </c>
      <c r="C71" s="19">
        <f ca="1">IFERROR(__xludf.DUMMYFUNCTION("""COMPUTED_VALUE"""),3.94)</f>
        <v>3.94</v>
      </c>
      <c r="D71" s="6" t="str">
        <f ca="1">IFERROR(__xludf.DUMMYFUNCTION("""COMPUTED_VALUE"""),"ВЕТ")</f>
        <v>ВЕТ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.5" customHeight="1">
      <c r="A72" s="19">
        <v>66</v>
      </c>
      <c r="B72" s="19" t="str">
        <f ca="1">IFERROR(__xludf.DUMMYFUNCTION("""COMPUTED_VALUE"""),"Юрченко Д.С.")</f>
        <v>Юрченко Д.С.</v>
      </c>
      <c r="C72" s="33">
        <f ca="1">IFERROR(__xludf.DUMMYFUNCTION("""COMPUTED_VALUE"""),3.9)</f>
        <v>3.9</v>
      </c>
      <c r="D72" s="6" t="str">
        <f ca="1">IFERROR(__xludf.DUMMYFUNCTION("""COMPUTED_VALUE"""),"ВЕТ")</f>
        <v>ВЕТ</v>
      </c>
      <c r="E72" s="20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6" ht="13.5" customHeight="1">
      <c r="A73" s="19">
        <v>67</v>
      </c>
      <c r="B73" s="19" t="str">
        <f ca="1">IFERROR(__xludf.DUMMYFUNCTION("""COMPUTED_VALUE"""),"Таранова А.С.")</f>
        <v>Таранова А.С.</v>
      </c>
      <c r="C73" s="33">
        <f ca="1">IFERROR(__xludf.DUMMYFUNCTION("""COMPUTED_VALUE"""),3.89)</f>
        <v>3.89</v>
      </c>
      <c r="D73" s="6" t="str">
        <f ca="1">IFERROR(__xludf.DUMMYFUNCTION("""COMPUTED_VALUE"""),"ВЕТ")</f>
        <v>ВЕТ</v>
      </c>
      <c r="E73" s="20" t="str">
        <f ca="1">IFERROR(__xludf.DUMMYFUNCTION("""COMPUTED_VALUE"""),"оригинал")</f>
        <v>оригинал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6" ht="13.5" customHeight="1">
      <c r="A74" s="19">
        <v>68</v>
      </c>
      <c r="B74" s="19" t="str">
        <f ca="1">IFERROR(__xludf.DUMMYFUNCTION("""COMPUTED_VALUE"""),"Смирнов А.В.")</f>
        <v>Смирнов А.В.</v>
      </c>
      <c r="C74" s="33">
        <f ca="1">IFERROR(__xludf.DUMMYFUNCTION("""COMPUTED_VALUE"""),3.89)</f>
        <v>3.89</v>
      </c>
      <c r="D74" s="6" t="str">
        <f ca="1">IFERROR(__xludf.DUMMYFUNCTION("""COMPUTED_VALUE"""),"ВЕТ")</f>
        <v>ВЕТ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6" ht="13.5" customHeight="1">
      <c r="A75" s="19">
        <v>69</v>
      </c>
      <c r="B75" s="19" t="str">
        <f ca="1">IFERROR(__xludf.DUMMYFUNCTION("""COMPUTED_VALUE"""),"Ботнарь К.Н.")</f>
        <v>Ботнарь К.Н.</v>
      </c>
      <c r="C75" s="19">
        <f ca="1">IFERROR(__xludf.DUMMYFUNCTION("""COMPUTED_VALUE"""),3.89)</f>
        <v>3.89</v>
      </c>
      <c r="D75" s="6" t="str">
        <f ca="1">IFERROR(__xludf.DUMMYFUNCTION("""COMPUTED_VALUE"""),"ВЕТ")</f>
        <v>ВЕТ</v>
      </c>
      <c r="E75" s="20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6" ht="13.5" customHeight="1">
      <c r="A76" s="19">
        <v>70</v>
      </c>
      <c r="B76" s="19" t="str">
        <f ca="1">IFERROR(__xludf.DUMMYFUNCTION("""COMPUTED_VALUE"""),"Павлова К.П.")</f>
        <v>Павлова К.П.</v>
      </c>
      <c r="C76" s="33">
        <f ca="1">IFERROR(__xludf.DUMMYFUNCTION("""COMPUTED_VALUE"""),3.89)</f>
        <v>3.89</v>
      </c>
      <c r="D76" s="6" t="str">
        <f ca="1">IFERROR(__xludf.DUMMYFUNCTION("""COMPUTED_VALUE"""),"ВЕТ")</f>
        <v>ВЕТ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6" ht="13.5" customHeight="1">
      <c r="A77" s="19">
        <v>71</v>
      </c>
      <c r="B77" s="19" t="str">
        <f ca="1">IFERROR(__xludf.DUMMYFUNCTION("""COMPUTED_VALUE"""),"Шахова А.А.")</f>
        <v>Шахова А.А.</v>
      </c>
      <c r="C77" s="33">
        <f ca="1">IFERROR(__xludf.DUMMYFUNCTION("""COMPUTED_VALUE"""),3.88)</f>
        <v>3.88</v>
      </c>
      <c r="D77" s="6" t="str">
        <f ca="1">IFERROR(__xludf.DUMMYFUNCTION("""COMPUTED_VALUE"""),"ВЕТ")</f>
        <v>ВЕТ</v>
      </c>
      <c r="E77" s="20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6" ht="13.5" customHeight="1">
      <c r="A78" s="19">
        <v>72</v>
      </c>
      <c r="B78" s="19" t="str">
        <f ca="1">IFERROR(__xludf.DUMMYFUNCTION("""COMPUTED_VALUE"""),"Ясютина К.Е.")</f>
        <v>Ясютина К.Е.</v>
      </c>
      <c r="C78" s="19">
        <f ca="1">IFERROR(__xludf.DUMMYFUNCTION("""COMPUTED_VALUE"""),3.88)</f>
        <v>3.88</v>
      </c>
      <c r="D78" s="6" t="str">
        <f ca="1">IFERROR(__xludf.DUMMYFUNCTION("""COMPUTED_VALUE"""),"ВЕТ")</f>
        <v>ВЕТ</v>
      </c>
      <c r="E78" s="20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6" ht="13.5" customHeight="1">
      <c r="A79" s="19">
        <v>73</v>
      </c>
      <c r="B79" s="19" t="str">
        <f ca="1">IFERROR(__xludf.DUMMYFUNCTION("""COMPUTED_VALUE"""),"Южина И.Б.")</f>
        <v>Южина И.Б.</v>
      </c>
      <c r="C79" s="33">
        <f ca="1">IFERROR(__xludf.DUMMYFUNCTION("""COMPUTED_VALUE"""),3.88)</f>
        <v>3.88</v>
      </c>
      <c r="D79" s="6" t="str">
        <f ca="1">IFERROR(__xludf.DUMMYFUNCTION("""COMPUTED_VALUE"""),"ВЕТ")</f>
        <v>ВЕТ</v>
      </c>
      <c r="E79" s="20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6" ht="13.5" customHeight="1">
      <c r="A80" s="19">
        <v>74</v>
      </c>
      <c r="B80" s="19" t="str">
        <f ca="1">IFERROR(__xludf.DUMMYFUNCTION("""COMPUTED_VALUE"""),"Кувакина У. А.")</f>
        <v>Кувакина У. А.</v>
      </c>
      <c r="C80" s="29">
        <f ca="1">IFERROR(__xludf.DUMMYFUNCTION("""COMPUTED_VALUE"""),3.88)</f>
        <v>3.88</v>
      </c>
      <c r="D80" s="6" t="str">
        <f ca="1">IFERROR(__xludf.DUMMYFUNCTION("""COMPUTED_VALUE"""),"ВЕТ")</f>
        <v>ВЕТ</v>
      </c>
      <c r="E80" s="20" t="str">
        <f ca="1">IFERROR(__xludf.DUMMYFUNCTION("""COMPUTED_VALUE"""),"копия")</f>
        <v>копия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19">
        <v>75</v>
      </c>
      <c r="B81" s="19" t="str">
        <f ca="1">IFERROR(__xludf.DUMMYFUNCTION("""COMPUTED_VALUE"""),"Ипатова А.Н.")</f>
        <v>Ипатова А.Н.</v>
      </c>
      <c r="C81" s="33">
        <f ca="1">IFERROR(__xludf.DUMMYFUNCTION("""COMPUTED_VALUE"""),3.85)</f>
        <v>3.85</v>
      </c>
      <c r="D81" s="6" t="str">
        <f ca="1">IFERROR(__xludf.DUMMYFUNCTION("""COMPUTED_VALUE"""),"ВЕТ")</f>
        <v>ВЕТ</v>
      </c>
      <c r="E81" s="20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19">
        <v>76</v>
      </c>
      <c r="B82" s="19" t="str">
        <f ca="1">IFERROR(__xludf.DUMMYFUNCTION("""COMPUTED_VALUE"""),"Карманов Е.С")</f>
        <v>Карманов Е.С</v>
      </c>
      <c r="C82" s="19">
        <f ca="1">IFERROR(__xludf.DUMMYFUNCTION("""COMPUTED_VALUE"""),3.85)</f>
        <v>3.85</v>
      </c>
      <c r="D82" s="6" t="str">
        <f ca="1">IFERROR(__xludf.DUMMYFUNCTION("""COMPUTED_VALUE"""),"ВЕТ")</f>
        <v>ВЕТ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19">
        <v>77</v>
      </c>
      <c r="B83" s="19" t="str">
        <f ca="1">IFERROR(__xludf.DUMMYFUNCTION("""COMPUTED_VALUE"""),"Дудра Е.А.")</f>
        <v>Дудра Е.А.</v>
      </c>
      <c r="C83" s="19">
        <f ca="1">IFERROR(__xludf.DUMMYFUNCTION("""COMPUTED_VALUE"""),3.84)</f>
        <v>3.84</v>
      </c>
      <c r="D83" s="6" t="str">
        <f ca="1">IFERROR(__xludf.DUMMYFUNCTION("""COMPUTED_VALUE"""),"ВЕТ")</f>
        <v>ВЕТ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19">
        <v>78</v>
      </c>
      <c r="B84" s="19" t="str">
        <f ca="1">IFERROR(__xludf.DUMMYFUNCTION("""COMPUTED_VALUE"""),"Голышева К.А.")</f>
        <v>Голышева К.А.</v>
      </c>
      <c r="C84" s="19">
        <f ca="1">IFERROR(__xludf.DUMMYFUNCTION("""COMPUTED_VALUE"""),3.84)</f>
        <v>3.84</v>
      </c>
      <c r="D84" s="6" t="str">
        <f ca="1">IFERROR(__xludf.DUMMYFUNCTION("""COMPUTED_VALUE"""),"ВЕТ")</f>
        <v>ВЕТ</v>
      </c>
      <c r="E84" s="20" t="str">
        <f ca="1">IFERROR(__xludf.DUMMYFUNCTION("""COMPUTED_VALUE"""),"оригинал ")</f>
        <v xml:space="preserve">оригинал 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19" t="str">
        <f ca="1">IFERROR(__xludf.DUMMYFUNCTION("""COMPUTED_VALUE"""),"Фадеева К.В.")</f>
        <v>Фадеева К.В.</v>
      </c>
      <c r="C85" s="19">
        <f ca="1">IFERROR(__xludf.DUMMYFUNCTION("""COMPUTED_VALUE"""),3.84)</f>
        <v>3.84</v>
      </c>
      <c r="D85" s="6" t="str">
        <f ca="1">IFERROR(__xludf.DUMMYFUNCTION("""COMPUTED_VALUE"""),"ВЕТ")</f>
        <v>ВЕТ</v>
      </c>
      <c r="E85" s="20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19" t="str">
        <f ca="1">IFERROR(__xludf.DUMMYFUNCTION("""COMPUTED_VALUE"""),"Мелехина В.Н.")</f>
        <v>Мелехина В.Н.</v>
      </c>
      <c r="C86" s="33">
        <f ca="1">IFERROR(__xludf.DUMMYFUNCTION("""COMPUTED_VALUE"""),3.84)</f>
        <v>3.84</v>
      </c>
      <c r="D86" s="6" t="str">
        <f ca="1">IFERROR(__xludf.DUMMYFUNCTION("""COMPUTED_VALUE"""),"ВЕТ")</f>
        <v>ВЕТ</v>
      </c>
      <c r="E86" s="20" t="str">
        <f ca="1">IFERROR(__xludf.DUMMYFUNCTION("""COMPUTED_VALUE"""),"копия")</f>
        <v>копия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81</v>
      </c>
      <c r="B87" s="19" t="str">
        <f ca="1">IFERROR(__xludf.DUMMYFUNCTION("""COMPUTED_VALUE"""),"Готовчиц В.М.")</f>
        <v>Готовчиц В.М.</v>
      </c>
      <c r="C87" s="29">
        <f ca="1">IFERROR(__xludf.DUMMYFUNCTION("""COMPUTED_VALUE"""),3.84)</f>
        <v>3.84</v>
      </c>
      <c r="D87" s="6" t="str">
        <f ca="1">IFERROR(__xludf.DUMMYFUNCTION("""COMPUTED_VALUE"""),"ВЕТ")</f>
        <v>ВЕТ</v>
      </c>
      <c r="E87" s="20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82</v>
      </c>
      <c r="B88" s="19" t="str">
        <f ca="1">IFERROR(__xludf.DUMMYFUNCTION("""COMPUTED_VALUE"""),"Зыбина А.Е.")</f>
        <v>Зыбина А.Е.</v>
      </c>
      <c r="C88" s="19">
        <f ca="1">IFERROR(__xludf.DUMMYFUNCTION("""COMPUTED_VALUE"""),3.83)</f>
        <v>3.83</v>
      </c>
      <c r="D88" s="6" t="str">
        <f ca="1">IFERROR(__xludf.DUMMYFUNCTION("""COMPUTED_VALUE"""),"ВЕТ")</f>
        <v>ВЕТ</v>
      </c>
      <c r="E88" s="20" t="str">
        <f ca="1">IFERROR(__xludf.DUMMYFUNCTION("""COMPUTED_VALUE"""),"копия")</f>
        <v>копия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83</v>
      </c>
      <c r="B89" s="19" t="str">
        <f ca="1">IFERROR(__xludf.DUMMYFUNCTION("""COMPUTED_VALUE"""),"Карманова Е.Н.")</f>
        <v>Карманова Е.Н.</v>
      </c>
      <c r="C89" s="19">
        <f ca="1">IFERROR(__xludf.DUMMYFUNCTION("""COMPUTED_VALUE"""),3.83)</f>
        <v>3.83</v>
      </c>
      <c r="D89" s="6" t="str">
        <f ca="1">IFERROR(__xludf.DUMMYFUNCTION("""COMPUTED_VALUE"""),"ВЕТ")</f>
        <v>ВЕТ</v>
      </c>
      <c r="E89" s="20" t="str">
        <f ca="1">IFERROR(__xludf.DUMMYFUNCTION("""COMPUTED_VALUE"""),"копия")</f>
        <v>копия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84</v>
      </c>
      <c r="B90" s="19" t="str">
        <f ca="1">IFERROR(__xludf.DUMMYFUNCTION("""COMPUTED_VALUE"""),"Рябова Д.А.")</f>
        <v>Рябова Д.А.</v>
      </c>
      <c r="C90" s="19">
        <f ca="1">IFERROR(__xludf.DUMMYFUNCTION("""COMPUTED_VALUE"""),3.83)</f>
        <v>3.83</v>
      </c>
      <c r="D90" s="6" t="str">
        <f ca="1">IFERROR(__xludf.DUMMYFUNCTION("""COMPUTED_VALUE"""),"ВЕТ")</f>
        <v>ВЕТ</v>
      </c>
      <c r="E90" s="20" t="str">
        <f ca="1">IFERROR(__xludf.DUMMYFUNCTION("""COMPUTED_VALUE"""),"копия")</f>
        <v>копия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85</v>
      </c>
      <c r="B91" s="19" t="str">
        <f ca="1">IFERROR(__xludf.DUMMYFUNCTION("""COMPUTED_VALUE"""),"Черниговец П.А.")</f>
        <v>Черниговец П.А.</v>
      </c>
      <c r="C91" s="19">
        <f ca="1">IFERROR(__xludf.DUMMYFUNCTION("""COMPUTED_VALUE"""),3.81)</f>
        <v>3.81</v>
      </c>
      <c r="D91" s="6" t="str">
        <f ca="1">IFERROR(__xludf.DUMMYFUNCTION("""COMPUTED_VALUE"""),"ВЕТ")</f>
        <v>ВЕТ</v>
      </c>
      <c r="E91" s="20" t="str">
        <f ca="1">IFERROR(__xludf.DUMMYFUNCTION("""COMPUTED_VALUE"""),"оригинал")</f>
        <v>оригинал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86</v>
      </c>
      <c r="B92" s="19" t="str">
        <f ca="1">IFERROR(__xludf.DUMMYFUNCTION("""COMPUTED_VALUE"""),"Рочева О.В.")</f>
        <v>Рочева О.В.</v>
      </c>
      <c r="C92" s="19">
        <f ca="1">IFERROR(__xludf.DUMMYFUNCTION("""COMPUTED_VALUE"""),3.76)</f>
        <v>3.76</v>
      </c>
      <c r="D92" s="6" t="str">
        <f ca="1">IFERROR(__xludf.DUMMYFUNCTION("""COMPUTED_VALUE"""),"ВЕТ")</f>
        <v>ВЕТ</v>
      </c>
      <c r="E92" s="20" t="str">
        <f ca="1">IFERROR(__xludf.DUMMYFUNCTION("""COMPUTED_VALUE"""),"оригинал")</f>
        <v>оригинал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87</v>
      </c>
      <c r="B93" s="19" t="str">
        <f ca="1">IFERROR(__xludf.DUMMYFUNCTION("""COMPUTED_VALUE"""),"Касева О.А.")</f>
        <v>Касева О.А.</v>
      </c>
      <c r="C93" s="19">
        <f ca="1">IFERROR(__xludf.DUMMYFUNCTION("""COMPUTED_VALUE"""),3.75)</f>
        <v>3.75</v>
      </c>
      <c r="D93" s="6" t="str">
        <f ca="1">IFERROR(__xludf.DUMMYFUNCTION("""COMPUTED_VALUE"""),"ВЕТ")</f>
        <v>ВЕТ</v>
      </c>
      <c r="E93" s="20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88</v>
      </c>
      <c r="B94" s="19" t="str">
        <f ca="1">IFERROR(__xludf.DUMMYFUNCTION("""COMPUTED_VALUE"""),"Лыткина В.М.")</f>
        <v>Лыткина В.М.</v>
      </c>
      <c r="C94" s="33">
        <f ca="1">IFERROR(__xludf.DUMMYFUNCTION("""COMPUTED_VALUE"""),3.74)</f>
        <v>3.74</v>
      </c>
      <c r="D94" s="6" t="str">
        <f ca="1">IFERROR(__xludf.DUMMYFUNCTION("""COMPUTED_VALUE"""),"ВЕТ")</f>
        <v>ВЕТ</v>
      </c>
      <c r="E94" s="20" t="str">
        <f ca="1">IFERROR(__xludf.DUMMYFUNCTION("""COMPUTED_VALUE"""),"копия")</f>
        <v>копия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89</v>
      </c>
      <c r="B95" s="19" t="str">
        <f ca="1">IFERROR(__xludf.DUMMYFUNCTION("""COMPUTED_VALUE"""),"Волкова Д.А.")</f>
        <v>Волкова Д.А.</v>
      </c>
      <c r="C95" s="19">
        <f ca="1">IFERROR(__xludf.DUMMYFUNCTION("""COMPUTED_VALUE"""),3.74)</f>
        <v>3.74</v>
      </c>
      <c r="D95" s="6" t="str">
        <f ca="1">IFERROR(__xludf.DUMMYFUNCTION("""COMPUTED_VALUE"""),"ВЕТ")</f>
        <v>ВЕТ</v>
      </c>
      <c r="E95" s="20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90</v>
      </c>
      <c r="B96" s="19" t="str">
        <f ca="1">IFERROR(__xludf.DUMMYFUNCTION("""COMPUTED_VALUE"""),"Шарапова А.А.")</f>
        <v>Шарапова А.А.</v>
      </c>
      <c r="C96" s="33">
        <f ca="1">IFERROR(__xludf.DUMMYFUNCTION("""COMPUTED_VALUE"""),3.72)</f>
        <v>3.72</v>
      </c>
      <c r="D96" s="6" t="str">
        <f ca="1">IFERROR(__xludf.DUMMYFUNCTION("""COMPUTED_VALUE"""),"ВЕТ")</f>
        <v>ВЕТ</v>
      </c>
      <c r="E96" s="20" t="str">
        <f ca="1">IFERROR(__xludf.DUMMYFUNCTION("""COMPUTED_VALUE"""),"копия")</f>
        <v>копия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30">
        <v>91</v>
      </c>
      <c r="B97" s="19" t="str">
        <f ca="1">IFERROR(__xludf.DUMMYFUNCTION("""COMPUTED_VALUE"""),"Симаков М. П.")</f>
        <v>Симаков М. П.</v>
      </c>
      <c r="C97" s="29">
        <f ca="1">IFERROR(__xludf.DUMMYFUNCTION("""COMPUTED_VALUE"""),3.7)</f>
        <v>3.7</v>
      </c>
      <c r="D97" s="6" t="str">
        <f ca="1">IFERROR(__xludf.DUMMYFUNCTION("""COMPUTED_VALUE"""),"ВЕТ")</f>
        <v>ВЕТ</v>
      </c>
      <c r="E97" s="20" t="str">
        <f ca="1">IFERROR(__xludf.DUMMYFUNCTION("""COMPUTED_VALUE"""),"копия")</f>
        <v>копия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30">
        <v>92</v>
      </c>
      <c r="B98" s="19" t="str">
        <f ca="1">IFERROR(__xludf.DUMMYFUNCTION("""COMPUTED_VALUE"""),"Городова О.К.")</f>
        <v>Городова О.К.</v>
      </c>
      <c r="C98" s="19">
        <f ca="1">IFERROR(__xludf.DUMMYFUNCTION("""COMPUTED_VALUE"""),3.68)</f>
        <v>3.68</v>
      </c>
      <c r="D98" s="6" t="str">
        <f ca="1">IFERROR(__xludf.DUMMYFUNCTION("""COMPUTED_VALUE"""),"ВЕТ")</f>
        <v>ВЕТ</v>
      </c>
      <c r="E98" s="20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30">
        <v>93</v>
      </c>
      <c r="B99" s="19" t="str">
        <f ca="1">IFERROR(__xludf.DUMMYFUNCTION("""COMPUTED_VALUE"""),"Чеусова А.А.")</f>
        <v>Чеусова А.А.</v>
      </c>
      <c r="C99" s="19">
        <f ca="1">IFERROR(__xludf.DUMMYFUNCTION("""COMPUTED_VALUE"""),3.68)</f>
        <v>3.68</v>
      </c>
      <c r="D99" s="6" t="str">
        <f ca="1">IFERROR(__xludf.DUMMYFUNCTION("""COMPUTED_VALUE"""),"ВЕТ")</f>
        <v>ВЕТ</v>
      </c>
      <c r="E99" s="20" t="str">
        <f ca="1">IFERROR(__xludf.DUMMYFUNCTION("""COMPUTED_VALUE"""),"копия")</f>
        <v>копия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30">
        <v>94</v>
      </c>
      <c r="B100" s="19" t="str">
        <f ca="1">IFERROR(__xludf.DUMMYFUNCTION("""COMPUTED_VALUE"""),"Чеусова А.А.")</f>
        <v>Чеусова А.А.</v>
      </c>
      <c r="C100" s="29">
        <f ca="1">IFERROR(__xludf.DUMMYFUNCTION("""COMPUTED_VALUE"""),3.68)</f>
        <v>3.68</v>
      </c>
      <c r="D100" s="6" t="str">
        <f ca="1">IFERROR(__xludf.DUMMYFUNCTION("""COMPUTED_VALUE"""),"ВЕТ")</f>
        <v>ВЕТ</v>
      </c>
      <c r="E100" s="20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 thickTop="1" thickBot="1">
      <c r="A101" s="30">
        <v>95</v>
      </c>
      <c r="B101" s="19" t="str">
        <f ca="1">IFERROR(__xludf.DUMMYFUNCTION("""COMPUTED_VALUE"""),"Красова В.В.")</f>
        <v>Красова В.В.</v>
      </c>
      <c r="C101" s="33">
        <f ca="1">IFERROR(__xludf.DUMMYFUNCTION("""COMPUTED_VALUE"""),3.67)</f>
        <v>3.67</v>
      </c>
      <c r="D101" s="6" t="str">
        <f ca="1">IFERROR(__xludf.DUMMYFUNCTION("""COMPUTED_VALUE"""),"ВЕТ")</f>
        <v>ВЕТ</v>
      </c>
      <c r="E101" s="20" t="str">
        <f ca="1">IFERROR(__xludf.DUMMYFUNCTION("""COMPUTED_VALUE"""),"копия")</f>
        <v>копия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 thickTop="1" thickBot="1">
      <c r="A102" s="30">
        <v>96</v>
      </c>
      <c r="B102" s="30" t="str">
        <f ca="1">IFERROR(__xludf.DUMMYFUNCTION("""COMPUTED_VALUE"""),"Молодовская М.П.")</f>
        <v>Молодовская М.П.</v>
      </c>
      <c r="C102" s="30">
        <v>3.68</v>
      </c>
      <c r="D102" s="30" t="str">
        <f ca="1">IFERROR(__xludf.DUMMYFUNCTION("""COMPUTED_VALUE"""),"ВЕТ")</f>
        <v>ВЕТ</v>
      </c>
      <c r="E102" s="30" t="str">
        <f ca="1">IFERROR(__xludf.DUMMYFUNCTION("""COMPUTED_VALUE"""),"оригинал")</f>
        <v>оригинал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 thickTop="1" thickBot="1">
      <c r="A103" s="30">
        <v>97</v>
      </c>
      <c r="B103" s="19" t="str">
        <f ca="1">IFERROR(__xludf.DUMMYFUNCTION("""COMPUTED_VALUE"""),"Григорьева М.Е.")</f>
        <v>Григорьева М.Е.</v>
      </c>
      <c r="C103" s="33">
        <f ca="1">IFERROR(__xludf.DUMMYFUNCTION("""COMPUTED_VALUE"""),3.65)</f>
        <v>3.65</v>
      </c>
      <c r="D103" s="6" t="str">
        <f ca="1">IFERROR(__xludf.DUMMYFUNCTION("""COMPUTED_VALUE"""),"ВЕТ")</f>
        <v>ВЕТ</v>
      </c>
      <c r="E103" s="20" t="str">
        <f ca="1">IFERROR(__xludf.DUMMYFUNCTION("""COMPUTED_VALUE"""),"копия")</f>
        <v>копия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30">
        <v>98</v>
      </c>
      <c r="B104" s="19" t="str">
        <f ca="1">IFERROR(__xludf.DUMMYFUNCTION("""COMPUTED_VALUE"""),"Григорьева М.Е.")</f>
        <v>Григорьева М.Е.</v>
      </c>
      <c r="C104" s="19">
        <f ca="1">IFERROR(__xludf.DUMMYFUNCTION("""COMPUTED_VALUE"""),3.65)</f>
        <v>3.65</v>
      </c>
      <c r="D104" s="6" t="str">
        <f ca="1">IFERROR(__xludf.DUMMYFUNCTION("""COMPUTED_VALUE"""),"ВЕТ")</f>
        <v>ВЕТ</v>
      </c>
      <c r="E104" s="20" t="str">
        <f ca="1">IFERROR(__xludf.DUMMYFUNCTION("""COMPUTED_VALUE"""),"копия")</f>
        <v>копия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30">
        <v>99</v>
      </c>
      <c r="B105" s="19" t="str">
        <f ca="1">IFERROR(__xludf.DUMMYFUNCTION("""COMPUTED_VALUE"""),"Ремейкис М.В.")</f>
        <v>Ремейкис М.В.</v>
      </c>
      <c r="C105" s="19">
        <f ca="1">IFERROR(__xludf.DUMMYFUNCTION("""COMPUTED_VALUE"""),3.65)</f>
        <v>3.65</v>
      </c>
      <c r="D105" s="6" t="str">
        <f ca="1">IFERROR(__xludf.DUMMYFUNCTION("""COMPUTED_VALUE"""),"ВЕТ")</f>
        <v>ВЕТ</v>
      </c>
      <c r="E105" s="20" t="str">
        <f ca="1">IFERROR(__xludf.DUMMYFUNCTION("""COMPUTED_VALUE"""),"копия")</f>
        <v>копия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30">
        <v>100</v>
      </c>
      <c r="B106" s="19" t="str">
        <f ca="1">IFERROR(__xludf.DUMMYFUNCTION("""COMPUTED_VALUE"""),"Смирнова А.А.")</f>
        <v>Смирнова А.А.</v>
      </c>
      <c r="C106" s="19">
        <f ca="1">IFERROR(__xludf.DUMMYFUNCTION("""COMPUTED_VALUE"""),3.65)</f>
        <v>3.65</v>
      </c>
      <c r="D106" s="6" t="str">
        <f ca="1">IFERROR(__xludf.DUMMYFUNCTION("""COMPUTED_VALUE"""),"ВЕТ")</f>
        <v>ВЕТ</v>
      </c>
      <c r="E106" s="20" t="str">
        <f ca="1">IFERROR(__xludf.DUMMYFUNCTION("""COMPUTED_VALUE"""),"копия")</f>
        <v>копия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30">
        <v>101</v>
      </c>
      <c r="B107" s="19" t="str">
        <f ca="1">IFERROR(__xludf.DUMMYFUNCTION("""COMPUTED_VALUE"""),"Пунегова К.А.")</f>
        <v>Пунегова К.А.</v>
      </c>
      <c r="C107" s="19">
        <f ca="1">IFERROR(__xludf.DUMMYFUNCTION("""COMPUTED_VALUE"""),3.65)</f>
        <v>3.65</v>
      </c>
      <c r="D107" s="6" t="str">
        <f ca="1">IFERROR(__xludf.DUMMYFUNCTION("""COMPUTED_VALUE"""),"ВЕТ")</f>
        <v>ВЕТ</v>
      </c>
      <c r="E107" s="20" t="str">
        <f ca="1">IFERROR(__xludf.DUMMYFUNCTION("""COMPUTED_VALUE"""),"копия")</f>
        <v>копия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30">
        <v>102</v>
      </c>
      <c r="B108" s="19" t="str">
        <f ca="1">IFERROR(__xludf.DUMMYFUNCTION("""COMPUTED_VALUE"""),"Коровина Е.С.")</f>
        <v>Коровина Е.С.</v>
      </c>
      <c r="C108" s="33">
        <f ca="1">IFERROR(__xludf.DUMMYFUNCTION("""COMPUTED_VALUE"""),3.63)</f>
        <v>3.63</v>
      </c>
      <c r="D108" s="6" t="str">
        <f ca="1">IFERROR(__xludf.DUMMYFUNCTION("""COMPUTED_VALUE"""),"ВЕТ")</f>
        <v>ВЕТ</v>
      </c>
      <c r="E108" s="20" t="str">
        <f ca="1">IFERROR(__xludf.DUMMYFUNCTION("""COMPUTED_VALUE"""),"копия")</f>
        <v>копия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30">
        <v>103</v>
      </c>
      <c r="B109" s="19" t="str">
        <f ca="1">IFERROR(__xludf.DUMMYFUNCTION("""COMPUTED_VALUE"""),"Кутепова Д.В.")</f>
        <v>Кутепова Д.В.</v>
      </c>
      <c r="C109" s="19">
        <f ca="1">IFERROR(__xludf.DUMMYFUNCTION("""COMPUTED_VALUE"""),3.63)</f>
        <v>3.63</v>
      </c>
      <c r="D109" s="6" t="str">
        <f ca="1">IFERROR(__xludf.DUMMYFUNCTION("""COMPUTED_VALUE"""),"ВЕТ")</f>
        <v>ВЕТ</v>
      </c>
      <c r="E109" s="20" t="str">
        <f ca="1">IFERROR(__xludf.DUMMYFUNCTION("""COMPUTED_VALUE"""),"копия")</f>
        <v>копия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30">
        <v>104</v>
      </c>
      <c r="B110" s="19" t="str">
        <f ca="1">IFERROR(__xludf.DUMMYFUNCTION("""COMPUTED_VALUE"""),"Солдатенко В.Д.")</f>
        <v>Солдатенко В.Д.</v>
      </c>
      <c r="C110" s="33">
        <f ca="1">IFERROR(__xludf.DUMMYFUNCTION("""COMPUTED_VALUE"""),3.63)</f>
        <v>3.63</v>
      </c>
      <c r="D110" s="6" t="str">
        <f ca="1">IFERROR(__xludf.DUMMYFUNCTION("""COMPUTED_VALUE"""),"ВЕТ")</f>
        <v>ВЕТ</v>
      </c>
      <c r="E110" s="20" t="str">
        <f ca="1">IFERROR(__xludf.DUMMYFUNCTION("""COMPUTED_VALUE"""),"копия")</f>
        <v>копия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30">
        <v>105</v>
      </c>
      <c r="B111" s="19" t="str">
        <f ca="1">IFERROR(__xludf.DUMMYFUNCTION("""COMPUTED_VALUE"""),"Шадрин Я.А.")</f>
        <v>Шадрин Я.А.</v>
      </c>
      <c r="C111" s="19">
        <f ca="1">IFERROR(__xludf.DUMMYFUNCTION("""COMPUTED_VALUE"""),3.63)</f>
        <v>3.63</v>
      </c>
      <c r="D111" s="6" t="str">
        <f ca="1">IFERROR(__xludf.DUMMYFUNCTION("""COMPUTED_VALUE"""),"ВЕТ")</f>
        <v>ВЕТ</v>
      </c>
      <c r="E111" s="20" t="str">
        <f ca="1">IFERROR(__xludf.DUMMYFUNCTION("""COMPUTED_VALUE"""),"копия")</f>
        <v>копия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30">
        <v>106</v>
      </c>
      <c r="B112" s="19" t="str">
        <f ca="1">IFERROR(__xludf.DUMMYFUNCTION("""COMPUTED_VALUE"""),"Потолицина С.Р.")</f>
        <v>Потолицина С.Р.</v>
      </c>
      <c r="C112" s="33">
        <f ca="1">IFERROR(__xludf.DUMMYFUNCTION("""COMPUTED_VALUE"""),3.59)</f>
        <v>3.59</v>
      </c>
      <c r="D112" s="6" t="str">
        <f ca="1">IFERROR(__xludf.DUMMYFUNCTION("""COMPUTED_VALUE"""),"ВЕТ")</f>
        <v>ВЕТ</v>
      </c>
      <c r="E112" s="20" t="str">
        <f ca="1">IFERROR(__xludf.DUMMYFUNCTION("""COMPUTED_VALUE"""),"копия")</f>
        <v>копия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30">
        <v>107</v>
      </c>
      <c r="B113" s="19" t="str">
        <f ca="1">IFERROR(__xludf.DUMMYFUNCTION("""COMPUTED_VALUE"""),"Алимова Е.И")</f>
        <v>Алимова Е.И</v>
      </c>
      <c r="C113" s="33">
        <f ca="1">IFERROR(__xludf.DUMMYFUNCTION("""COMPUTED_VALUE"""),3.58)</f>
        <v>3.58</v>
      </c>
      <c r="D113" s="6" t="str">
        <f ca="1">IFERROR(__xludf.DUMMYFUNCTION("""COMPUTED_VALUE"""),"ВЕТ")</f>
        <v>ВЕТ</v>
      </c>
      <c r="E113" s="20" t="str">
        <f ca="1">IFERROR(__xludf.DUMMYFUNCTION("""COMPUTED_VALUE"""),"копия")</f>
        <v>копия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30">
        <v>108</v>
      </c>
      <c r="B114" s="19" t="str">
        <f ca="1">IFERROR(__xludf.DUMMYFUNCTION("""COMPUTED_VALUE"""),"Попова В.Н.")</f>
        <v>Попова В.Н.</v>
      </c>
      <c r="C114" s="33">
        <f ca="1">IFERROR(__xludf.DUMMYFUNCTION("""COMPUTED_VALUE"""),3.58)</f>
        <v>3.58</v>
      </c>
      <c r="D114" s="6" t="str">
        <f ca="1">IFERROR(__xludf.DUMMYFUNCTION("""COMPUTED_VALUE"""),"ВЕТ")</f>
        <v>ВЕТ</v>
      </c>
      <c r="E114" s="20" t="str">
        <f ca="1">IFERROR(__xludf.DUMMYFUNCTION("""COMPUTED_VALUE"""),"копия")</f>
        <v>копия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30">
        <v>109</v>
      </c>
      <c r="B115" s="19" t="str">
        <f ca="1">IFERROR(__xludf.DUMMYFUNCTION("""COMPUTED_VALUE"""),"Рассыхаева Д.М.")</f>
        <v>Рассыхаева Д.М.</v>
      </c>
      <c r="C115" s="19">
        <f ca="1">IFERROR(__xludf.DUMMYFUNCTION("""COMPUTED_VALUE"""),3.55)</f>
        <v>3.55</v>
      </c>
      <c r="D115" s="6" t="str">
        <f ca="1">IFERROR(__xludf.DUMMYFUNCTION("""COMPUTED_VALUE"""),"ВЕТ")</f>
        <v>ВЕТ</v>
      </c>
      <c r="E115" s="20" t="str">
        <f ca="1">IFERROR(__xludf.DUMMYFUNCTION("""COMPUTED_VALUE"""),"копия")</f>
        <v>копия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30">
        <v>110</v>
      </c>
      <c r="B116" s="19" t="str">
        <f ca="1">IFERROR(__xludf.DUMMYFUNCTION("""COMPUTED_VALUE"""),"Соловей А.С.")</f>
        <v>Соловей А.С.</v>
      </c>
      <c r="C116" s="33">
        <f ca="1">IFERROR(__xludf.DUMMYFUNCTION("""COMPUTED_VALUE"""),3.55)</f>
        <v>3.55</v>
      </c>
      <c r="D116" s="6" t="str">
        <f ca="1">IFERROR(__xludf.DUMMYFUNCTION("""COMPUTED_VALUE"""),"ВЕТ")</f>
        <v>ВЕТ</v>
      </c>
      <c r="E116" s="20" t="str">
        <f ca="1">IFERROR(__xludf.DUMMYFUNCTION("""COMPUTED_VALUE"""),"копия")</f>
        <v>копия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30">
        <v>111</v>
      </c>
      <c r="B117" s="19" t="str">
        <f ca="1">IFERROR(__xludf.DUMMYFUNCTION("""COMPUTED_VALUE"""),"Пильщик О.М.")</f>
        <v>Пильщик О.М.</v>
      </c>
      <c r="C117" s="19">
        <f ca="1">IFERROR(__xludf.DUMMYFUNCTION("""COMPUTED_VALUE"""),3.55)</f>
        <v>3.55</v>
      </c>
      <c r="D117" s="6" t="str">
        <f ca="1">IFERROR(__xludf.DUMMYFUNCTION("""COMPUTED_VALUE"""),"ВЕТ")</f>
        <v>ВЕТ</v>
      </c>
      <c r="E117" s="20" t="str">
        <f ca="1">IFERROR(__xludf.DUMMYFUNCTION("""COMPUTED_VALUE"""),"копия")</f>
        <v>копия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30">
        <v>112</v>
      </c>
      <c r="B118" s="19" t="str">
        <f ca="1">IFERROR(__xludf.DUMMYFUNCTION("""COMPUTED_VALUE"""),"Лабецкая В.В.")</f>
        <v>Лабецкая В.В.</v>
      </c>
      <c r="C118" s="19">
        <f ca="1">IFERROR(__xludf.DUMMYFUNCTION("""COMPUTED_VALUE"""),3.55)</f>
        <v>3.55</v>
      </c>
      <c r="D118" s="6" t="str">
        <f ca="1">IFERROR(__xludf.DUMMYFUNCTION("""COMPUTED_VALUE"""),"ВЕТ")</f>
        <v>ВЕТ</v>
      </c>
      <c r="E118" s="20" t="str">
        <f ca="1">IFERROR(__xludf.DUMMYFUNCTION("""COMPUTED_VALUE"""),"копия")</f>
        <v>копия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30">
        <v>113</v>
      </c>
      <c r="B119" s="19" t="str">
        <f ca="1">IFERROR(__xludf.DUMMYFUNCTION("""COMPUTED_VALUE"""),"Калтайс А.С.")</f>
        <v>Калтайс А.С.</v>
      </c>
      <c r="C119" s="19">
        <f ca="1">IFERROR(__xludf.DUMMYFUNCTION("""COMPUTED_VALUE"""),3.53)</f>
        <v>3.53</v>
      </c>
      <c r="D119" s="6" t="str">
        <f ca="1">IFERROR(__xludf.DUMMYFUNCTION("""COMPUTED_VALUE"""),"ВЕТ")</f>
        <v>ВЕТ</v>
      </c>
      <c r="E119" s="20" t="str">
        <f ca="1">IFERROR(__xludf.DUMMYFUNCTION("""COMPUTED_VALUE"""),"копия")</f>
        <v>копия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customHeight="1">
      <c r="A120" s="30">
        <v>114</v>
      </c>
      <c r="B120" s="19" t="str">
        <f ca="1">IFERROR(__xludf.DUMMYFUNCTION("""COMPUTED_VALUE"""),"Харитонова К.В.")</f>
        <v>Харитонова К.В.</v>
      </c>
      <c r="C120" s="19">
        <f ca="1">IFERROR(__xludf.DUMMYFUNCTION("""COMPUTED_VALUE"""),3.53)</f>
        <v>3.53</v>
      </c>
      <c r="D120" s="6" t="str">
        <f ca="1">IFERROR(__xludf.DUMMYFUNCTION("""COMPUTED_VALUE"""),"ВЕТ")</f>
        <v>ВЕТ</v>
      </c>
      <c r="E120" s="20" t="str">
        <f ca="1">IFERROR(__xludf.DUMMYFUNCTION("""COMPUTED_VALUE"""),"копия")</f>
        <v>копия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customHeight="1">
      <c r="A121" s="30">
        <v>115</v>
      </c>
      <c r="B121" s="19" t="str">
        <f ca="1">IFERROR(__xludf.DUMMYFUNCTION("""COMPUTED_VALUE"""),"Рассыхаева К.Е.")</f>
        <v>Рассыхаева К.Е.</v>
      </c>
      <c r="C121" s="33">
        <f ca="1">IFERROR(__xludf.DUMMYFUNCTION("""COMPUTED_VALUE"""),3.52)</f>
        <v>3.52</v>
      </c>
      <c r="D121" s="6" t="str">
        <f ca="1">IFERROR(__xludf.DUMMYFUNCTION("""COMPUTED_VALUE"""),"ВЕТ")</f>
        <v>ВЕТ</v>
      </c>
      <c r="E121" s="20" t="str">
        <f ca="1">IFERROR(__xludf.DUMMYFUNCTION("""COMPUTED_VALUE"""),"копия")</f>
        <v>копия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customHeight="1">
      <c r="A122" s="30">
        <v>116</v>
      </c>
      <c r="B122" s="19" t="str">
        <f ca="1">IFERROR(__xludf.DUMMYFUNCTION("""COMPUTED_VALUE"""),"Афаносенкова А.А.")</f>
        <v>Афаносенкова А.А.</v>
      </c>
      <c r="C122" s="19">
        <f ca="1">IFERROR(__xludf.DUMMYFUNCTION("""COMPUTED_VALUE"""),3.52)</f>
        <v>3.52</v>
      </c>
      <c r="D122" s="6" t="str">
        <f ca="1">IFERROR(__xludf.DUMMYFUNCTION("""COMPUTED_VALUE"""),"ВЕТ")</f>
        <v>ВЕТ</v>
      </c>
      <c r="E122" s="20" t="str">
        <f ca="1">IFERROR(__xludf.DUMMYFUNCTION("""COMPUTED_VALUE"""),"копия")</f>
        <v>копия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customHeight="1">
      <c r="A123" s="30">
        <v>117</v>
      </c>
      <c r="B123" s="19" t="str">
        <f ca="1">IFERROR(__xludf.DUMMYFUNCTION("""COMPUTED_VALUE"""),"Ташлыкова Л.К")</f>
        <v>Ташлыкова Л.К</v>
      </c>
      <c r="C123" s="19">
        <f ca="1">IFERROR(__xludf.DUMMYFUNCTION("""COMPUTED_VALUE"""),3.5)</f>
        <v>3.5</v>
      </c>
      <c r="D123" s="6" t="str">
        <f ca="1">IFERROR(__xludf.DUMMYFUNCTION("""COMPUTED_VALUE"""),"ВЕТ")</f>
        <v>ВЕТ</v>
      </c>
      <c r="E123" s="20" t="str">
        <f ca="1">IFERROR(__xludf.DUMMYFUNCTION("""COMPUTED_VALUE"""),"копия")</f>
        <v>копия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customHeight="1">
      <c r="A124" s="30">
        <v>118</v>
      </c>
      <c r="B124" s="19" t="str">
        <f ca="1">IFERROR(__xludf.DUMMYFUNCTION("""COMPUTED_VALUE"""),"Шпулинг А.А.")</f>
        <v>Шпулинг А.А.</v>
      </c>
      <c r="C124" s="33">
        <f ca="1">IFERROR(__xludf.DUMMYFUNCTION("""COMPUTED_VALUE"""),3.5)</f>
        <v>3.5</v>
      </c>
      <c r="D124" s="6" t="str">
        <f ca="1">IFERROR(__xludf.DUMMYFUNCTION("""COMPUTED_VALUE"""),"ВЕТ")</f>
        <v>ВЕТ</v>
      </c>
      <c r="E124" s="20" t="str">
        <f ca="1">IFERROR(__xludf.DUMMYFUNCTION("""COMPUTED_VALUE"""),"копия")</f>
        <v>копия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>
      <c r="A125" s="30">
        <v>119</v>
      </c>
      <c r="B125" s="19" t="str">
        <f ca="1">IFERROR(__xludf.DUMMYFUNCTION("""COMPUTED_VALUE"""),"Эрлих Е.А.")</f>
        <v>Эрлих Е.А.</v>
      </c>
      <c r="C125" s="33">
        <f ca="1">IFERROR(__xludf.DUMMYFUNCTION("""COMPUTED_VALUE"""),3.5)</f>
        <v>3.5</v>
      </c>
      <c r="D125" s="6" t="str">
        <f ca="1">IFERROR(__xludf.DUMMYFUNCTION("""COMPUTED_VALUE"""),"ВЕТ")</f>
        <v>ВЕТ</v>
      </c>
      <c r="E125" s="20" t="str">
        <f ca="1">IFERROR(__xludf.DUMMYFUNCTION("""COMPUTED_VALUE"""),"копия")</f>
        <v>копия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customHeight="1">
      <c r="A126" s="30">
        <v>120</v>
      </c>
      <c r="B126" s="19" t="str">
        <f ca="1">IFERROR(__xludf.DUMMYFUNCTION("""COMPUTED_VALUE"""),"Мартыненко П.В.")</f>
        <v>Мартыненко П.В.</v>
      </c>
      <c r="C126" s="33">
        <f ca="1">IFERROR(__xludf.DUMMYFUNCTION("""COMPUTED_VALUE"""),3.47)</f>
        <v>3.47</v>
      </c>
      <c r="D126" s="6" t="str">
        <f ca="1">IFERROR(__xludf.DUMMYFUNCTION("""COMPUTED_VALUE"""),"ВЕТ")</f>
        <v>ВЕТ</v>
      </c>
      <c r="E126" s="20" t="str">
        <f ca="1">IFERROR(__xludf.DUMMYFUNCTION("""COMPUTED_VALUE"""),"копия")</f>
        <v>копия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customHeight="1">
      <c r="A127" s="30">
        <v>121</v>
      </c>
      <c r="B127" s="19" t="str">
        <f ca="1">IFERROR(__xludf.DUMMYFUNCTION("""COMPUTED_VALUE"""),"Дюлгерова А.Р.")</f>
        <v>Дюлгерова А.Р.</v>
      </c>
      <c r="C127" s="19">
        <f ca="1">IFERROR(__xludf.DUMMYFUNCTION("""COMPUTED_VALUE"""),3.47)</f>
        <v>3.47</v>
      </c>
      <c r="D127" s="6" t="str">
        <f ca="1">IFERROR(__xludf.DUMMYFUNCTION("""COMPUTED_VALUE"""),"ВЕТ")</f>
        <v>ВЕТ</v>
      </c>
      <c r="E127" s="20" t="str">
        <f ca="1">IFERROR(__xludf.DUMMYFUNCTION("""COMPUTED_VALUE"""),"копия")</f>
        <v>копия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>
      <c r="A128" s="30">
        <v>122</v>
      </c>
      <c r="B128" s="19" t="str">
        <f ca="1">IFERROR(__xludf.DUMMYFUNCTION("""COMPUTED_VALUE"""),"Кочанова Н.С.")</f>
        <v>Кочанова Н.С.</v>
      </c>
      <c r="C128" s="33">
        <f ca="1">IFERROR(__xludf.DUMMYFUNCTION("""COMPUTED_VALUE"""),3.47)</f>
        <v>3.47</v>
      </c>
      <c r="D128" s="6" t="str">
        <f ca="1">IFERROR(__xludf.DUMMYFUNCTION("""COMPUTED_VALUE"""),"ВЕТ")</f>
        <v>ВЕТ</v>
      </c>
      <c r="E128" s="20" t="str">
        <f ca="1">IFERROR(__xludf.DUMMYFUNCTION("""COMPUTED_VALUE"""),"копия")</f>
        <v>копия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30">
        <v>123</v>
      </c>
      <c r="B129" s="19" t="str">
        <f ca="1">IFERROR(__xludf.DUMMYFUNCTION("""COMPUTED_VALUE"""),"Цуманкова А.Е.")</f>
        <v>Цуманкова А.Е.</v>
      </c>
      <c r="C129" s="19">
        <f ca="1">IFERROR(__xludf.DUMMYFUNCTION("""COMPUTED_VALUE"""),3.47)</f>
        <v>3.47</v>
      </c>
      <c r="D129" s="6" t="str">
        <f ca="1">IFERROR(__xludf.DUMMYFUNCTION("""COMPUTED_VALUE"""),"ВЕТ")</f>
        <v>ВЕТ</v>
      </c>
      <c r="E129" s="20" t="str">
        <f ca="1">IFERROR(__xludf.DUMMYFUNCTION("""COMPUTED_VALUE"""),"копия")</f>
        <v>копия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30">
        <v>124</v>
      </c>
      <c r="B130" s="19" t="str">
        <f ca="1">IFERROR(__xludf.DUMMYFUNCTION("""COMPUTED_VALUE"""),"Шевелева Я.С.")</f>
        <v>Шевелева Я.С.</v>
      </c>
      <c r="C130" s="33">
        <f ca="1">IFERROR(__xludf.DUMMYFUNCTION("""COMPUTED_VALUE"""),3.45)</f>
        <v>3.45</v>
      </c>
      <c r="D130" s="6" t="str">
        <f ca="1">IFERROR(__xludf.DUMMYFUNCTION("""COMPUTED_VALUE"""),"ВЕТ")</f>
        <v>ВЕТ</v>
      </c>
      <c r="E130" s="20" t="str">
        <f ca="1">IFERROR(__xludf.DUMMYFUNCTION("""COMPUTED_VALUE"""),"копия")</f>
        <v>копия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30">
        <v>125</v>
      </c>
      <c r="B131" s="19" t="str">
        <f ca="1">IFERROR(__xludf.DUMMYFUNCTION("""COMPUTED_VALUE"""),"Гулынин Д.Д.")</f>
        <v>Гулынин Д.Д.</v>
      </c>
      <c r="C131" s="19">
        <f ca="1">IFERROR(__xludf.DUMMYFUNCTION("""COMPUTED_VALUE"""),3.44)</f>
        <v>3.44</v>
      </c>
      <c r="D131" s="6" t="str">
        <f ca="1">IFERROR(__xludf.DUMMYFUNCTION("""COMPUTED_VALUE"""),"ВЕТ")</f>
        <v>ВЕТ</v>
      </c>
      <c r="E131" s="20" t="str">
        <f ca="1">IFERROR(__xludf.DUMMYFUNCTION("""COMPUTED_VALUE"""),"копия")</f>
        <v>копия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30">
        <v>126</v>
      </c>
      <c r="B132" s="19" t="str">
        <f ca="1">IFERROR(__xludf.DUMMYFUNCTION("""COMPUTED_VALUE"""),"Мазурчик А.Д.")</f>
        <v>Мазурчик А.Д.</v>
      </c>
      <c r="C132" s="19">
        <f ca="1">IFERROR(__xludf.DUMMYFUNCTION("""COMPUTED_VALUE"""),3.44)</f>
        <v>3.44</v>
      </c>
      <c r="D132" s="19" t="str">
        <f ca="1">IFERROR(__xludf.DUMMYFUNCTION("""COMPUTED_VALUE"""),"ВЕТ")</f>
        <v>ВЕТ</v>
      </c>
      <c r="E132" s="19" t="str">
        <f ca="1">IFERROR(__xludf.DUMMYFUNCTION("""COMPUTED_VALUE"""),"копия")</f>
        <v>копия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30">
        <v>127</v>
      </c>
      <c r="B133" s="19" t="str">
        <f ca="1">IFERROR(__xludf.DUMMYFUNCTION("""COMPUTED_VALUE"""),"Крутова А.В.")</f>
        <v>Крутова А.В.</v>
      </c>
      <c r="C133" s="33">
        <f ca="1">IFERROR(__xludf.DUMMYFUNCTION("""COMPUTED_VALUE"""),3.44)</f>
        <v>3.44</v>
      </c>
      <c r="D133" s="19" t="str">
        <f ca="1">IFERROR(__xludf.DUMMYFUNCTION("""COMPUTED_VALUE"""),"ВЕТ")</f>
        <v>ВЕТ</v>
      </c>
      <c r="E133" s="19" t="str">
        <f ca="1">IFERROR(__xludf.DUMMYFUNCTION("""COMPUTED_VALUE"""),"копия")</f>
        <v>копия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30">
        <v>128</v>
      </c>
      <c r="B134" s="19" t="str">
        <f ca="1">IFERROR(__xludf.DUMMYFUNCTION("""COMPUTED_VALUE"""),"Суранова Е.А.")</f>
        <v>Суранова Е.А.</v>
      </c>
      <c r="C134" s="19">
        <f ca="1">IFERROR(__xludf.DUMMYFUNCTION("""COMPUTED_VALUE"""),3.43)</f>
        <v>3.43</v>
      </c>
      <c r="D134" s="19" t="str">
        <f ca="1">IFERROR(__xludf.DUMMYFUNCTION("""COMPUTED_VALUE"""),"ВЕТ")</f>
        <v>ВЕТ</v>
      </c>
      <c r="E134" s="19" t="str">
        <f ca="1">IFERROR(__xludf.DUMMYFUNCTION("""COMPUTED_VALUE"""),"копия")</f>
        <v>копия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30">
        <v>129</v>
      </c>
      <c r="B135" s="19" t="str">
        <f ca="1">IFERROR(__xludf.DUMMYFUNCTION("""COMPUTED_VALUE"""),"Вахнина А.Д.")</f>
        <v>Вахнина А.Д.</v>
      </c>
      <c r="C135" s="33">
        <f ca="1">IFERROR(__xludf.DUMMYFUNCTION("""COMPUTED_VALUE"""),3.42)</f>
        <v>3.42</v>
      </c>
      <c r="D135" s="19" t="str">
        <f ca="1">IFERROR(__xludf.DUMMYFUNCTION("""COMPUTED_VALUE"""),"ВЕТ")</f>
        <v>ВЕТ</v>
      </c>
      <c r="E135" s="19" t="str">
        <f ca="1">IFERROR(__xludf.DUMMYFUNCTION("""COMPUTED_VALUE"""),"оригинал ")</f>
        <v xml:space="preserve">оригинал 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30">
        <v>130</v>
      </c>
      <c r="B136" s="19" t="str">
        <f ca="1">IFERROR(__xludf.DUMMYFUNCTION("""COMPUTED_VALUE"""),"Попов Р.В.")</f>
        <v>Попов Р.В.</v>
      </c>
      <c r="C136" s="19">
        <f ca="1">IFERROR(__xludf.DUMMYFUNCTION("""COMPUTED_VALUE"""),3.42)</f>
        <v>3.42</v>
      </c>
      <c r="D136" s="19" t="str">
        <f ca="1">IFERROR(__xludf.DUMMYFUNCTION("""COMPUTED_VALUE"""),"ВЕТ")</f>
        <v>ВЕТ</v>
      </c>
      <c r="E136" s="19" t="str">
        <f ca="1">IFERROR(__xludf.DUMMYFUNCTION("""COMPUTED_VALUE"""),"копия")</f>
        <v>копия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30">
        <v>131</v>
      </c>
      <c r="B137" s="19" t="str">
        <f ca="1">IFERROR(__xludf.DUMMYFUNCTION("""COMPUTED_VALUE"""),"Федосова А.А.")</f>
        <v>Федосова А.А.</v>
      </c>
      <c r="C137" s="33">
        <f ca="1">IFERROR(__xludf.DUMMYFUNCTION("""COMPUTED_VALUE"""),3.42)</f>
        <v>3.42</v>
      </c>
      <c r="D137" s="19" t="str">
        <f ca="1">IFERROR(__xludf.DUMMYFUNCTION("""COMPUTED_VALUE"""),"ВЕТ")</f>
        <v>ВЕТ</v>
      </c>
      <c r="E137" s="19" t="str">
        <f ca="1">IFERROR(__xludf.DUMMYFUNCTION("""COMPUTED_VALUE"""),"копия")</f>
        <v>копия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30">
        <v>132</v>
      </c>
      <c r="B138" s="19" t="str">
        <f ca="1">IFERROR(__xludf.DUMMYFUNCTION("""COMPUTED_VALUE"""),"Соболева А.А.")</f>
        <v>Соболева А.А.</v>
      </c>
      <c r="C138" s="19">
        <f ca="1">IFERROR(__xludf.DUMMYFUNCTION("""COMPUTED_VALUE"""),3.42)</f>
        <v>3.42</v>
      </c>
      <c r="D138" s="19" t="str">
        <f ca="1">IFERROR(__xludf.DUMMYFUNCTION("""COMPUTED_VALUE"""),"ВЕТ")</f>
        <v>ВЕТ</v>
      </c>
      <c r="E138" s="19" t="str">
        <f ca="1">IFERROR(__xludf.DUMMYFUNCTION("""COMPUTED_VALUE"""),"копия")</f>
        <v>копия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30">
        <v>133</v>
      </c>
      <c r="B139" s="19" t="str">
        <f ca="1">IFERROR(__xludf.DUMMYFUNCTION("""COMPUTED_VALUE"""),"Чурсина Е.Е.")</f>
        <v>Чурсина Е.Е.</v>
      </c>
      <c r="C139" s="33">
        <f ca="1">IFERROR(__xludf.DUMMYFUNCTION("""COMPUTED_VALUE"""),3.4)</f>
        <v>3.4</v>
      </c>
      <c r="D139" s="19" t="str">
        <f ca="1">IFERROR(__xludf.DUMMYFUNCTION("""COMPUTED_VALUE"""),"ВЕТ")</f>
        <v>ВЕТ</v>
      </c>
      <c r="E139" s="19" t="str">
        <f ca="1">IFERROR(__xludf.DUMMYFUNCTION("""COMPUTED_VALUE"""),"копия")</f>
        <v>копия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30">
        <v>134</v>
      </c>
      <c r="B140" s="19" t="str">
        <f ca="1">IFERROR(__xludf.DUMMYFUNCTION("""COMPUTED_VALUE"""),"Хусаинова О.Р.")</f>
        <v>Хусаинова О.Р.</v>
      </c>
      <c r="C140" s="33">
        <f ca="1">IFERROR(__xludf.DUMMYFUNCTION("""COMPUTED_VALUE"""),3.4)</f>
        <v>3.4</v>
      </c>
      <c r="D140" s="19" t="str">
        <f ca="1">IFERROR(__xludf.DUMMYFUNCTION("""COMPUTED_VALUE"""),"ВЕТ")</f>
        <v>ВЕТ</v>
      </c>
      <c r="E140" s="19" t="str">
        <f ca="1">IFERROR(__xludf.DUMMYFUNCTION("""COMPUTED_VALUE"""),"копия")</f>
        <v>копия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30">
        <v>135</v>
      </c>
      <c r="B141" s="19" t="str">
        <f ca="1">IFERROR(__xludf.DUMMYFUNCTION("""COMPUTED_VALUE"""),"Ежова Л.Э.")</f>
        <v>Ежова Л.Э.</v>
      </c>
      <c r="C141" s="33">
        <f ca="1">IFERROR(__xludf.DUMMYFUNCTION("""COMPUTED_VALUE"""),3.39)</f>
        <v>3.39</v>
      </c>
      <c r="D141" s="19" t="str">
        <f ca="1">IFERROR(__xludf.DUMMYFUNCTION("""COMPUTED_VALUE"""),"ВЕТ")</f>
        <v>ВЕТ</v>
      </c>
      <c r="E141" s="19" t="str">
        <f ca="1">IFERROR(__xludf.DUMMYFUNCTION("""COMPUTED_VALUE"""),"копия")</f>
        <v>копия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30">
        <v>136</v>
      </c>
      <c r="B142" s="19" t="str">
        <f ca="1">IFERROR(__xludf.DUMMYFUNCTION("""COMPUTED_VALUE"""),"Кобзева М.А.")</f>
        <v>Кобзева М.А.</v>
      </c>
      <c r="C142" s="33">
        <f ca="1">IFERROR(__xludf.DUMMYFUNCTION("""COMPUTED_VALUE"""),3.37)</f>
        <v>3.37</v>
      </c>
      <c r="D142" s="19" t="str">
        <f ca="1">IFERROR(__xludf.DUMMYFUNCTION("""COMPUTED_VALUE"""),"ВЕТ")</f>
        <v>ВЕТ</v>
      </c>
      <c r="E142" s="19" t="str">
        <f ca="1">IFERROR(__xludf.DUMMYFUNCTION("""COMPUTED_VALUE"""),"копия")</f>
        <v>копия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30">
        <v>137</v>
      </c>
      <c r="B143" s="19" t="str">
        <f ca="1">IFERROR(__xludf.DUMMYFUNCTION("""COMPUTED_VALUE"""),"Носкова Д.П.")</f>
        <v>Носкова Д.П.</v>
      </c>
      <c r="C143" s="33">
        <f ca="1">IFERROR(__xludf.DUMMYFUNCTION("""COMPUTED_VALUE"""),3.36)</f>
        <v>3.36</v>
      </c>
      <c r="D143" s="19" t="str">
        <f ca="1">IFERROR(__xludf.DUMMYFUNCTION("""COMPUTED_VALUE"""),"ВЕТ")</f>
        <v>ВЕТ</v>
      </c>
      <c r="E143" s="19" t="str">
        <f ca="1">IFERROR(__xludf.DUMMYFUNCTION("""COMPUTED_VALUE"""),"копия")</f>
        <v>копия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30">
        <v>138</v>
      </c>
      <c r="B144" s="19" t="str">
        <f ca="1">IFERROR(__xludf.DUMMYFUNCTION("""COMPUTED_VALUE"""),"Сердитов Д.В.")</f>
        <v>Сердитов Д.В.</v>
      </c>
      <c r="C144" s="19">
        <f ca="1">IFERROR(__xludf.DUMMYFUNCTION("""COMPUTED_VALUE"""),3.35)</f>
        <v>3.35</v>
      </c>
      <c r="D144" s="19" t="str">
        <f ca="1">IFERROR(__xludf.DUMMYFUNCTION("""COMPUTED_VALUE"""),"ВЕТ")</f>
        <v>ВЕТ</v>
      </c>
      <c r="E144" s="19" t="str">
        <f ca="1">IFERROR(__xludf.DUMMYFUNCTION("""COMPUTED_VALUE"""),"копия")</f>
        <v>копия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30">
        <v>139</v>
      </c>
      <c r="B145" s="19" t="str">
        <f ca="1">IFERROR(__xludf.DUMMYFUNCTION("""COMPUTED_VALUE"""),"Гусейнова Д. Г.")</f>
        <v>Гусейнова Д. Г.</v>
      </c>
      <c r="C145" s="29">
        <f ca="1">IFERROR(__xludf.DUMMYFUNCTION("""COMPUTED_VALUE"""),3.33)</f>
        <v>3.33</v>
      </c>
      <c r="D145" s="19" t="str">
        <f ca="1">IFERROR(__xludf.DUMMYFUNCTION("""COMPUTED_VALUE"""),"ВЕТ")</f>
        <v>ВЕТ</v>
      </c>
      <c r="E145" s="19" t="str">
        <f ca="1">IFERROR(__xludf.DUMMYFUNCTION("""COMPUTED_VALUE"""),"оригинал")</f>
        <v>оригинал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30">
        <v>140</v>
      </c>
      <c r="B146" s="19" t="str">
        <f ca="1">IFERROR(__xludf.DUMMYFUNCTION("""COMPUTED_VALUE"""),"Выборова А.А.")</f>
        <v>Выборова А.А.</v>
      </c>
      <c r="C146" s="19">
        <f ca="1">IFERROR(__xludf.DUMMYFUNCTION("""COMPUTED_VALUE"""),3.31)</f>
        <v>3.31</v>
      </c>
      <c r="D146" s="19" t="str">
        <f ca="1">IFERROR(__xludf.DUMMYFUNCTION("""COMPUTED_VALUE"""),"ВЕТ")</f>
        <v>ВЕТ</v>
      </c>
      <c r="E146" s="19" t="str">
        <f ca="1">IFERROR(__xludf.DUMMYFUNCTION("""COMPUTED_VALUE"""),"копия")</f>
        <v>копия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30">
        <v>141</v>
      </c>
      <c r="B147" s="19" t="str">
        <f ca="1">IFERROR(__xludf.DUMMYFUNCTION("""COMPUTED_VALUE"""),"Бабина П. А.")</f>
        <v>Бабина П. А.</v>
      </c>
      <c r="C147" s="29">
        <f ca="1">IFERROR(__xludf.DUMMYFUNCTION("""COMPUTED_VALUE"""),3.28)</f>
        <v>3.28</v>
      </c>
      <c r="D147" s="19" t="str">
        <f ca="1">IFERROR(__xludf.DUMMYFUNCTION("""COMPUTED_VALUE"""),"ВЕТ")</f>
        <v>ВЕТ</v>
      </c>
      <c r="E147" s="19" t="str">
        <f ca="1">IFERROR(__xludf.DUMMYFUNCTION("""COMPUTED_VALUE"""),"копия")</f>
        <v>копия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30">
        <v>142</v>
      </c>
      <c r="B148" s="19" t="str">
        <f ca="1">IFERROR(__xludf.DUMMYFUNCTION("""COMPUTED_VALUE"""),"Монанков Д.С.")</f>
        <v>Монанков Д.С.</v>
      </c>
      <c r="C148" s="19">
        <f ca="1">IFERROR(__xludf.DUMMYFUNCTION("""COMPUTED_VALUE"""),3.27)</f>
        <v>3.27</v>
      </c>
      <c r="D148" s="19" t="str">
        <f ca="1">IFERROR(__xludf.DUMMYFUNCTION("""COMPUTED_VALUE"""),"ВЕТ")</f>
        <v>ВЕТ</v>
      </c>
      <c r="E148" s="19" t="str">
        <f ca="1">IFERROR(__xludf.DUMMYFUNCTION("""COMPUTED_VALUE"""),"копия")</f>
        <v>копия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30">
        <v>143</v>
      </c>
      <c r="B149" s="19" t="str">
        <f ca="1">IFERROR(__xludf.DUMMYFUNCTION("""COMPUTED_VALUE"""),"Кривушева Е. А.")</f>
        <v>Кривушева Е. А.</v>
      </c>
      <c r="C149" s="29">
        <f ca="1">IFERROR(__xludf.DUMMYFUNCTION("""COMPUTED_VALUE"""),3.26)</f>
        <v>3.26</v>
      </c>
      <c r="D149" s="19" t="str">
        <f ca="1">IFERROR(__xludf.DUMMYFUNCTION("""COMPUTED_VALUE"""),"ВЕТ")</f>
        <v>ВЕТ</v>
      </c>
      <c r="E149" s="19" t="str">
        <f ca="1">IFERROR(__xludf.DUMMYFUNCTION("""COMPUTED_VALUE"""),"копия")</f>
        <v>копия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30">
        <v>144</v>
      </c>
      <c r="B150" s="19" t="str">
        <f ca="1">IFERROR(__xludf.DUMMYFUNCTION("""COMPUTED_VALUE"""),"Ковалева А.А.")</f>
        <v>Ковалева А.А.</v>
      </c>
      <c r="C150" s="19">
        <f ca="1">IFERROR(__xludf.DUMMYFUNCTION("""COMPUTED_VALUE"""),3.25)</f>
        <v>3.25</v>
      </c>
      <c r="D150" s="19" t="str">
        <f ca="1">IFERROR(__xludf.DUMMYFUNCTION("""COMPUTED_VALUE"""),"ВЕТ")</f>
        <v>ВЕТ</v>
      </c>
      <c r="E150" s="19" t="str">
        <f ca="1">IFERROR(__xludf.DUMMYFUNCTION("""COMPUTED_VALUE"""),"копия")</f>
        <v>копия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30">
        <v>145</v>
      </c>
      <c r="B151" s="19" t="str">
        <f ca="1">IFERROR(__xludf.DUMMYFUNCTION("""COMPUTED_VALUE"""),"Литвиненко И.Д.")</f>
        <v>Литвиненко И.Д.</v>
      </c>
      <c r="C151" s="19">
        <f ca="1">IFERROR(__xludf.DUMMYFUNCTION("""COMPUTED_VALUE"""),3.23)</f>
        <v>3.23</v>
      </c>
      <c r="D151" s="19" t="str">
        <f ca="1">IFERROR(__xludf.DUMMYFUNCTION("""COMPUTED_VALUE"""),"ВЕТ")</f>
        <v>ВЕТ</v>
      </c>
      <c r="E151" s="19" t="str">
        <f ca="1">IFERROR(__xludf.DUMMYFUNCTION("""COMPUTED_VALUE"""),"копия")</f>
        <v>копия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30">
        <v>146</v>
      </c>
      <c r="B152" s="19" t="str">
        <f ca="1">IFERROR(__xludf.DUMMYFUNCTION("""COMPUTED_VALUE"""),"Попова Д.О.")</f>
        <v>Попова Д.О.</v>
      </c>
      <c r="C152" s="19">
        <f ca="1">IFERROR(__xludf.DUMMYFUNCTION("""COMPUTED_VALUE"""),3.22)</f>
        <v>3.22</v>
      </c>
      <c r="D152" s="19" t="str">
        <f ca="1">IFERROR(__xludf.DUMMYFUNCTION("""COMPUTED_VALUE"""),"ВЕТ")</f>
        <v>ВЕТ</v>
      </c>
      <c r="E152" s="19" t="str">
        <f ca="1">IFERROR(__xludf.DUMMYFUNCTION("""COMPUTED_VALUE"""),"копия")</f>
        <v>копия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30">
        <v>147</v>
      </c>
      <c r="B153" s="19" t="str">
        <f ca="1">IFERROR(__xludf.DUMMYFUNCTION("""COMPUTED_VALUE"""),"Леденцов С.А.")</f>
        <v>Леденцов С.А.</v>
      </c>
      <c r="C153" s="19">
        <f ca="1">IFERROR(__xludf.DUMMYFUNCTION("""COMPUTED_VALUE"""),3.21)</f>
        <v>3.21</v>
      </c>
      <c r="D153" s="19" t="str">
        <f ca="1">IFERROR(__xludf.DUMMYFUNCTION("""COMPUTED_VALUE"""),"ВЕТ")</f>
        <v>ВЕТ</v>
      </c>
      <c r="E153" s="19" t="str">
        <f ca="1">IFERROR(__xludf.DUMMYFUNCTION("""COMPUTED_VALUE"""),"копия")</f>
        <v>копия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30">
        <v>148</v>
      </c>
      <c r="B154" s="19" t="str">
        <f ca="1">IFERROR(__xludf.DUMMYFUNCTION("""COMPUTED_VALUE"""),"Настасина К.А.")</f>
        <v>Настасина К.А.</v>
      </c>
      <c r="C154" s="33">
        <f ca="1">IFERROR(__xludf.DUMMYFUNCTION("""COMPUTED_VALUE"""),3.21)</f>
        <v>3.21</v>
      </c>
      <c r="D154" s="19" t="str">
        <f ca="1">IFERROR(__xludf.DUMMYFUNCTION("""COMPUTED_VALUE"""),"ВЕТ")</f>
        <v>ВЕТ</v>
      </c>
      <c r="E154" s="19" t="str">
        <f ca="1">IFERROR(__xludf.DUMMYFUNCTION("""COMPUTED_VALUE"""),"копия")</f>
        <v>копия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30">
        <v>149</v>
      </c>
      <c r="B155" s="19" t="str">
        <f ca="1">IFERROR(__xludf.DUMMYFUNCTION("""COMPUTED_VALUE"""),"Шудрич Д.Г.")</f>
        <v>Шудрич Д.Г.</v>
      </c>
      <c r="C155" s="19">
        <f ca="1">IFERROR(__xludf.DUMMYFUNCTION("""COMPUTED_VALUE"""),3.15)</f>
        <v>3.15</v>
      </c>
      <c r="D155" s="19" t="str">
        <f ca="1">IFERROR(__xludf.DUMMYFUNCTION("""COMPUTED_VALUE"""),"ВЕТ")</f>
        <v>ВЕТ</v>
      </c>
      <c r="E155" s="19" t="str">
        <f ca="1">IFERROR(__xludf.DUMMYFUNCTION("""COMPUTED_VALUE"""),"копия")</f>
        <v>копия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 thickTop="1" thickBot="1">
      <c r="A156" s="30">
        <v>150</v>
      </c>
      <c r="B156" s="19" t="str">
        <f ca="1">IFERROR(__xludf.DUMMYFUNCTION("""COMPUTED_VALUE"""),"Аникьева Л.А.")</f>
        <v>Аникьева Л.А.</v>
      </c>
      <c r="C156" s="19">
        <f ca="1">IFERROR(__xludf.DUMMYFUNCTION("""COMPUTED_VALUE"""),0)</f>
        <v>0</v>
      </c>
      <c r="D156" s="19" t="str">
        <f ca="1">IFERROR(__xludf.DUMMYFUNCTION("""COMPUTED_VALUE"""),"ВЕТ")</f>
        <v>ВЕТ</v>
      </c>
      <c r="E156" s="19" t="str">
        <f ca="1">IFERROR(__xludf.DUMMYFUNCTION("""COMPUTED_VALUE"""),"копия")</f>
        <v>копия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 thickTop="1" thickBot="1">
      <c r="A157" s="30">
        <v>151</v>
      </c>
      <c r="B157" s="30" t="str">
        <f ca="1">IFERROR(__xludf.DUMMYFUNCTION("""COMPUTED_VALUE"""),"Ющак А.М.")</f>
        <v>Ющак А.М.</v>
      </c>
      <c r="C157" s="30">
        <v>3.67</v>
      </c>
      <c r="D157" s="6" t="str">
        <f ca="1">IFERROR(__xludf.DUMMYFUNCTION("""COMPUTED_VALUE"""),"ВЕТ")</f>
        <v>ВЕТ</v>
      </c>
      <c r="E157" s="30" t="str">
        <f ca="1">IFERROR(__xludf.DUMMYFUNCTION("""COMPUTED_VALUE"""),"копия")</f>
        <v>копия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 thickTop="1" thickBot="1">
      <c r="A158" s="6"/>
      <c r="B158" s="30"/>
      <c r="C158" s="69"/>
      <c r="D158" s="6"/>
      <c r="E158" s="30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 thickTop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/>
  </sheetViews>
  <sheetFormatPr defaultColWidth="14.42578125" defaultRowHeight="15" customHeight="1"/>
  <cols>
    <col min="1" max="1" width="8.5703125" customWidth="1"/>
    <col min="2" max="2" width="28.42578125" customWidth="1"/>
    <col min="3" max="3" width="19.140625" customWidth="1"/>
    <col min="4" max="4" width="12.42578125" hidden="1" customWidth="1"/>
    <col min="5" max="5" width="16.710937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4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14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27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40</v>
      </c>
      <c r="B6" s="18" t="s">
        <v>42</v>
      </c>
      <c r="C6" s="16" t="s">
        <v>44</v>
      </c>
      <c r="D6" s="5"/>
      <c r="E6" s="16" t="s">
        <v>45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IFERROR(__xludf.DUMMYFUNCTION("FILTER(Inbox_Data!F2:I1004,Inbox_Data!H2:H1004=""ШАБОЛ"")"),"#N/A")</f>
        <v>#N/A</v>
      </c>
      <c r="C7" s="20"/>
      <c r="D7" s="20"/>
      <c r="E7" s="20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/>
      <c r="C8" s="20"/>
      <c r="D8" s="20"/>
      <c r="E8" s="20"/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/>
      <c r="C9" s="20"/>
      <c r="D9" s="20"/>
      <c r="E9" s="20"/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/>
      <c r="C10" s="20"/>
      <c r="D10" s="20"/>
      <c r="E10" s="20"/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/>
      <c r="C11" s="20"/>
      <c r="D11" s="20"/>
      <c r="E11" s="20"/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/>
      <c r="C12" s="20"/>
      <c r="D12" s="20"/>
      <c r="E12" s="20"/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/>
      <c r="C13" s="20"/>
      <c r="D13" s="20"/>
      <c r="E13" s="20"/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/>
      <c r="C14" s="20"/>
      <c r="D14" s="20"/>
      <c r="E14" s="20"/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/>
      <c r="C15" s="20"/>
      <c r="D15" s="20"/>
      <c r="E15" s="2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/>
      <c r="C16" s="20"/>
      <c r="D16" s="20"/>
      <c r="E16" s="20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/>
      <c r="C17" s="20"/>
      <c r="D17" s="20"/>
      <c r="E17" s="20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19"/>
      <c r="C18" s="20"/>
      <c r="D18" s="20"/>
      <c r="E18" s="2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6" ht="13.5" customHeight="1">
      <c r="A19" s="19">
        <v>13</v>
      </c>
      <c r="B19" s="19"/>
      <c r="C19" s="20"/>
      <c r="D19" s="20"/>
      <c r="E19" s="20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6" ht="13.5" customHeight="1">
      <c r="A20" s="19">
        <v>14</v>
      </c>
      <c r="B20" s="19"/>
      <c r="C20" s="20"/>
      <c r="D20" s="20"/>
      <c r="E20" s="20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6" ht="13.5" customHeight="1">
      <c r="A21" s="19">
        <v>15</v>
      </c>
      <c r="B21" s="19"/>
      <c r="C21" s="20"/>
      <c r="D21" s="20"/>
      <c r="E21" s="20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6" ht="13.5" customHeight="1">
      <c r="A22" s="19">
        <v>16</v>
      </c>
      <c r="B22" s="19"/>
      <c r="C22" s="20"/>
      <c r="D22" s="20"/>
      <c r="E22" s="20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6" ht="13.5" customHeight="1">
      <c r="A23" s="19">
        <v>17</v>
      </c>
      <c r="B23" s="19"/>
      <c r="C23" s="20"/>
      <c r="D23" s="20"/>
      <c r="E23" s="20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6" ht="13.5" customHeight="1">
      <c r="A24" s="19">
        <v>18</v>
      </c>
      <c r="B24" s="19"/>
      <c r="C24" s="20"/>
      <c r="D24" s="20"/>
      <c r="E24" s="2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6" ht="13.5" customHeight="1">
      <c r="A25" s="19">
        <v>19</v>
      </c>
      <c r="B25" s="19"/>
      <c r="C25" s="20"/>
      <c r="D25" s="20"/>
      <c r="E25" s="20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6" ht="13.5" customHeight="1">
      <c r="A26" s="19">
        <v>20</v>
      </c>
      <c r="B26" s="19"/>
      <c r="C26" s="20"/>
      <c r="D26" s="20"/>
      <c r="E26" s="20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6" ht="13.5" customHeight="1">
      <c r="A27" s="19">
        <v>21</v>
      </c>
      <c r="B27" s="19"/>
      <c r="C27" s="20"/>
      <c r="D27" s="20"/>
      <c r="E27" s="20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6" ht="13.5" customHeight="1">
      <c r="A28" s="19">
        <v>22</v>
      </c>
      <c r="B28" s="19"/>
      <c r="C28" s="20"/>
      <c r="D28" s="20"/>
      <c r="E28" s="20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6" ht="13.5" customHeight="1">
      <c r="A29" s="19">
        <v>23</v>
      </c>
      <c r="B29" s="19"/>
      <c r="C29" s="20"/>
      <c r="D29" s="20"/>
      <c r="E29" s="20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6" ht="13.5" customHeight="1">
      <c r="A30" s="19">
        <v>24</v>
      </c>
      <c r="B30" s="19"/>
      <c r="C30" s="20"/>
      <c r="D30" s="20"/>
      <c r="E30" s="2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6" ht="13.5" customHeight="1">
      <c r="A31" s="19">
        <v>25</v>
      </c>
      <c r="B31" s="19"/>
      <c r="C31" s="20"/>
      <c r="D31" s="20"/>
      <c r="E31" s="20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6" ht="13.5" customHeight="1">
      <c r="A32" s="19">
        <v>26</v>
      </c>
      <c r="B32" s="19"/>
      <c r="C32" s="20"/>
      <c r="D32" s="20"/>
      <c r="E32" s="20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3.5" customHeight="1">
      <c r="A33" s="19">
        <v>27</v>
      </c>
      <c r="B33" s="19"/>
      <c r="C33" s="20"/>
      <c r="D33" s="20"/>
      <c r="E33" s="20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3.5" customHeight="1">
      <c r="A34" s="19">
        <v>28</v>
      </c>
      <c r="B34" s="19"/>
      <c r="C34" s="20"/>
      <c r="D34" s="20"/>
      <c r="E34" s="20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3.5" customHeight="1">
      <c r="A35" s="19">
        <v>29</v>
      </c>
      <c r="B35" s="19"/>
      <c r="C35" s="20"/>
      <c r="D35" s="20"/>
      <c r="E35" s="20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3.5" customHeight="1">
      <c r="A36" s="19">
        <v>30</v>
      </c>
      <c r="B36" s="19"/>
      <c r="C36" s="20"/>
      <c r="D36" s="20"/>
      <c r="E36" s="20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3.5" customHeight="1">
      <c r="A37" s="19">
        <v>31</v>
      </c>
      <c r="B37" s="19"/>
      <c r="C37" s="20"/>
      <c r="D37" s="20"/>
      <c r="E37" s="20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3.5" customHeight="1">
      <c r="A38" s="30">
        <v>32</v>
      </c>
      <c r="B38" s="19"/>
      <c r="C38" s="20"/>
      <c r="D38" s="6"/>
      <c r="E38" s="20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3.5" customHeight="1">
      <c r="A39" s="30">
        <v>33</v>
      </c>
      <c r="B39" s="19"/>
      <c r="C39" s="20"/>
      <c r="D39" s="6"/>
      <c r="E39" s="20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3.5" customHeight="1">
      <c r="A40" s="30">
        <v>34</v>
      </c>
      <c r="B40" s="19"/>
      <c r="C40" s="20"/>
      <c r="D40" s="6"/>
      <c r="E40" s="20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3.5" customHeight="1">
      <c r="A41" s="30">
        <v>35</v>
      </c>
      <c r="B41" s="19"/>
      <c r="C41" s="20"/>
      <c r="D41" s="6"/>
      <c r="E41" s="20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3.5" customHeight="1">
      <c r="A42" s="30">
        <v>36</v>
      </c>
      <c r="B42" s="19"/>
      <c r="C42" s="20"/>
      <c r="D42" s="31"/>
      <c r="E42" s="20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3.5" customHeight="1">
      <c r="A43" s="30">
        <v>37</v>
      </c>
      <c r="B43" s="19"/>
      <c r="C43" s="20"/>
      <c r="D43" s="31"/>
      <c r="E43" s="20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3.5" customHeight="1">
      <c r="A44" s="30">
        <v>38</v>
      </c>
      <c r="B44" s="19"/>
      <c r="C44" s="20"/>
      <c r="D44" s="31"/>
      <c r="E44" s="20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3.5" customHeight="1">
      <c r="A45" s="30">
        <v>39</v>
      </c>
      <c r="B45" s="19"/>
      <c r="C45" s="20"/>
      <c r="D45" s="31"/>
      <c r="E45" s="20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3.5" customHeight="1">
      <c r="A46" s="30">
        <v>40</v>
      </c>
      <c r="B46" s="19"/>
      <c r="C46" s="20"/>
      <c r="D46" s="31"/>
      <c r="E46" s="20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3.5" customHeight="1">
      <c r="A47" s="30">
        <v>41</v>
      </c>
      <c r="B47" s="19"/>
      <c r="C47" s="20"/>
      <c r="D47" s="31"/>
      <c r="E47" s="20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3.5" customHeight="1">
      <c r="A48" s="30">
        <v>42</v>
      </c>
      <c r="B48" s="19"/>
      <c r="C48" s="20"/>
      <c r="D48" s="31"/>
      <c r="E48" s="20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30">
        <v>43</v>
      </c>
      <c r="B49" s="19"/>
      <c r="C49" s="20"/>
      <c r="D49" s="31"/>
      <c r="E49" s="20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30">
        <v>44</v>
      </c>
      <c r="B50" s="19"/>
      <c r="C50" s="20"/>
      <c r="D50" s="31"/>
      <c r="E50" s="20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30">
        <v>45</v>
      </c>
      <c r="B51" s="19"/>
      <c r="C51" s="20"/>
      <c r="D51" s="31"/>
      <c r="E51" s="20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30">
        <v>46</v>
      </c>
      <c r="B52" s="19"/>
      <c r="C52" s="20"/>
      <c r="D52" s="31"/>
      <c r="E52" s="20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30">
        <v>47</v>
      </c>
      <c r="B53" s="19"/>
      <c r="C53" s="20"/>
      <c r="D53" s="6"/>
      <c r="E53" s="2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sqref="A1:C1"/>
    </sheetView>
  </sheetViews>
  <sheetFormatPr defaultColWidth="14.42578125" defaultRowHeight="15" customHeight="1"/>
  <cols>
    <col min="1" max="1" width="8.5703125" customWidth="1"/>
    <col min="2" max="2" width="33.7109375" customWidth="1"/>
    <col min="3" max="3" width="11.42578125" customWidth="1"/>
    <col min="4" max="4" width="12.42578125" hidden="1" customWidth="1"/>
    <col min="5" max="5" width="16.5703125" customWidth="1"/>
    <col min="6" max="6" width="7.28515625" customWidth="1"/>
    <col min="7" max="15" width="8.85546875" customWidth="1"/>
    <col min="16" max="26" width="8.7109375" customWidth="1"/>
  </cols>
  <sheetData>
    <row r="1" spans="1:26" ht="17.25">
      <c r="A1" s="79"/>
      <c r="B1" s="72"/>
      <c r="C1" s="72"/>
      <c r="D1" s="3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6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72"/>
      <c r="E5" s="72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6" ht="48.75">
      <c r="A6" s="16" t="s">
        <v>13</v>
      </c>
      <c r="B6" s="18" t="s">
        <v>16</v>
      </c>
      <c r="C6" s="16" t="s">
        <v>20</v>
      </c>
      <c r="D6" s="5"/>
      <c r="E6" s="16" t="s">
        <v>23</v>
      </c>
      <c r="H6" s="6"/>
      <c r="I6" s="6"/>
      <c r="J6" s="6"/>
      <c r="K6" s="6"/>
      <c r="L6" s="6"/>
      <c r="M6" s="6"/>
      <c r="N6" s="6"/>
      <c r="O6" s="6"/>
      <c r="P6" s="6"/>
      <c r="Q6" s="6"/>
    </row>
    <row r="7" spans="1:26" ht="13.5" customHeight="1">
      <c r="A7" s="19">
        <v>1</v>
      </c>
      <c r="B7" s="20" t="str">
        <f ca="1">IFERROR(__xludf.DUMMYFUNCTION("FILTER(Inbox_Data!F2:I1003,Inbox_Data!H2:H1003=""СП"")"),"Попова А.Е.")</f>
        <v>Попова А.Е.</v>
      </c>
      <c r="C7" s="22">
        <f ca="1">IFERROR(__xludf.DUMMYFUNCTION("""COMPUTED_VALUE"""),4.94)</f>
        <v>4.9400000000000004</v>
      </c>
      <c r="D7" s="20" t="str">
        <f ca="1">IFERROR(__xludf.DUMMYFUNCTION("""COMPUTED_VALUE"""),"СП")</f>
        <v>СП</v>
      </c>
      <c r="E7" s="20" t="str">
        <f ca="1">IFERROR(__xludf.DUMMYFUNCTION("""COMPUTED_VALUE"""),"копия")</f>
        <v>копия</v>
      </c>
      <c r="H7" s="6"/>
      <c r="I7" s="6"/>
      <c r="J7" s="6"/>
      <c r="K7" s="6"/>
      <c r="L7" s="6"/>
      <c r="M7" s="6"/>
      <c r="N7" s="6"/>
      <c r="O7" s="6"/>
      <c r="P7" s="6"/>
      <c r="Q7" s="6"/>
    </row>
    <row r="8" spans="1:26" ht="13.5" customHeight="1">
      <c r="A8" s="19">
        <v>2</v>
      </c>
      <c r="B8" s="20" t="str">
        <f ca="1">IFERROR(__xludf.DUMMYFUNCTION("""COMPUTED_VALUE"""),"Коротышева Л.А.")</f>
        <v>Коротышева Л.А.</v>
      </c>
      <c r="C8" s="23">
        <f ca="1">IFERROR(__xludf.DUMMYFUNCTION("""COMPUTED_VALUE"""),4.89)</f>
        <v>4.8899999999999997</v>
      </c>
      <c r="D8" s="6" t="str">
        <f ca="1">IFERROR(__xludf.DUMMYFUNCTION("""COMPUTED_VALUE"""),"СП")</f>
        <v>СП</v>
      </c>
      <c r="E8" s="20" t="str">
        <f ca="1">IFERROR(__xludf.DUMMYFUNCTION("""COMPUTED_VALUE"""),"копия")</f>
        <v>копия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26" ht="13.5" customHeight="1">
      <c r="A9" s="19">
        <v>3</v>
      </c>
      <c r="B9" s="20" t="str">
        <f ca="1">IFERROR(__xludf.DUMMYFUNCTION("""COMPUTED_VALUE"""),"Перцева В. А.")</f>
        <v>Перцева В. А.</v>
      </c>
      <c r="C9" s="23">
        <f ca="1">IFERROR(__xludf.DUMMYFUNCTION("""COMPUTED_VALUE"""),4.55)</f>
        <v>4.55</v>
      </c>
      <c r="D9" s="6" t="str">
        <f ca="1">IFERROR(__xludf.DUMMYFUNCTION("""COMPUTED_VALUE"""),"СП")</f>
        <v>СП</v>
      </c>
      <c r="E9" s="20" t="str">
        <f ca="1">IFERROR(__xludf.DUMMYFUNCTION("""COMPUTED_VALUE"""),"копия")</f>
        <v>копия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26" ht="15.75">
      <c r="A10" s="19">
        <v>4</v>
      </c>
      <c r="B10" s="20" t="str">
        <f ca="1">IFERROR(__xludf.DUMMYFUNCTION("""COMPUTED_VALUE"""),"Рябоконь А. Ф.")</f>
        <v>Рябоконь А. Ф.</v>
      </c>
      <c r="C10" s="23">
        <f ca="1">IFERROR(__xludf.DUMMYFUNCTION("""COMPUTED_VALUE"""),4.55)</f>
        <v>4.55</v>
      </c>
      <c r="D10" s="6" t="str">
        <f ca="1">IFERROR(__xludf.DUMMYFUNCTION("""COMPUTED_VALUE"""),"СП")</f>
        <v>СП</v>
      </c>
      <c r="E10" s="20" t="str">
        <f ca="1">IFERROR(__xludf.DUMMYFUNCTION("""COMPUTED_VALUE"""),"копия")</f>
        <v>копия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26" ht="13.5" customHeight="1">
      <c r="A11" s="19">
        <v>5</v>
      </c>
      <c r="B11" s="20" t="str">
        <f ca="1">IFERROR(__xludf.DUMMYFUNCTION("""COMPUTED_VALUE"""),"Соколова К.Г.")</f>
        <v>Соколова К.Г.</v>
      </c>
      <c r="C11" s="23">
        <f ca="1">IFERROR(__xludf.DUMMYFUNCTION("""COMPUTED_VALUE"""),4.5)</f>
        <v>4.5</v>
      </c>
      <c r="D11" s="6" t="str">
        <f ca="1">IFERROR(__xludf.DUMMYFUNCTION("""COMPUTED_VALUE"""),"СП")</f>
        <v>СП</v>
      </c>
      <c r="E11" s="20" t="str">
        <f ca="1">IFERROR(__xludf.DUMMYFUNCTION("""COMPUTED_VALUE"""),"копия")</f>
        <v>копия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26" ht="13.5" customHeight="1">
      <c r="A12" s="19">
        <v>6</v>
      </c>
      <c r="B12" s="20" t="str">
        <f ca="1">IFERROR(__xludf.DUMMYFUNCTION("""COMPUTED_VALUE"""),"Лушкина С. А.")</f>
        <v>Лушкина С. А.</v>
      </c>
      <c r="C12" s="23">
        <f ca="1">IFERROR(__xludf.DUMMYFUNCTION("""COMPUTED_VALUE"""),4.42)</f>
        <v>4.42</v>
      </c>
      <c r="D12" s="6" t="str">
        <f ca="1">IFERROR(__xludf.DUMMYFUNCTION("""COMPUTED_VALUE"""),"СП")</f>
        <v>СП</v>
      </c>
      <c r="E12" s="20" t="str">
        <f ca="1">IFERROR(__xludf.DUMMYFUNCTION("""COMPUTED_VALUE"""),"копия")</f>
        <v>копия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26" ht="13.5" customHeight="1">
      <c r="A13" s="19">
        <v>7</v>
      </c>
      <c r="B13" s="20" t="str">
        <f ca="1">IFERROR(__xludf.DUMMYFUNCTION("""COMPUTED_VALUE"""),"Галева Д. Е.")</f>
        <v>Галева Д. Е.</v>
      </c>
      <c r="C13" s="23">
        <f ca="1">IFERROR(__xludf.DUMMYFUNCTION("""COMPUTED_VALUE"""),4.41)</f>
        <v>4.41</v>
      </c>
      <c r="D13" s="6" t="str">
        <f ca="1">IFERROR(__xludf.DUMMYFUNCTION("""COMPUTED_VALUE"""),"СП")</f>
        <v>СП</v>
      </c>
      <c r="E13" s="20" t="str">
        <f ca="1">IFERROR(__xludf.DUMMYFUNCTION("""COMPUTED_VALUE"""),"копия")</f>
        <v>копия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26" ht="15.75">
      <c r="A14" s="19">
        <v>8</v>
      </c>
      <c r="B14" s="20" t="str">
        <f ca="1">IFERROR(__xludf.DUMMYFUNCTION("""COMPUTED_VALUE"""),"Афонина А. С.")</f>
        <v>Афонина А. С.</v>
      </c>
      <c r="C14" s="23">
        <f ca="1">IFERROR(__xludf.DUMMYFUNCTION("""COMPUTED_VALUE"""),4.33)</f>
        <v>4.33</v>
      </c>
      <c r="D14" s="6" t="str">
        <f ca="1">IFERROR(__xludf.DUMMYFUNCTION("""COMPUTED_VALUE"""),"СП")</f>
        <v>СП</v>
      </c>
      <c r="E14" s="20" t="str">
        <f ca="1">IFERROR(__xludf.DUMMYFUNCTION("""COMPUTED_VALUE"""),"копия")</f>
        <v>копия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26" ht="13.5" customHeight="1">
      <c r="A15" s="19">
        <v>9</v>
      </c>
      <c r="B15" s="20" t="str">
        <f ca="1">IFERROR(__xludf.DUMMYFUNCTION("""COMPUTED_VALUE"""),"Рочева К. Ю.")</f>
        <v>Рочева К. Ю.</v>
      </c>
      <c r="C15" s="23">
        <f ca="1">IFERROR(__xludf.DUMMYFUNCTION("""COMPUTED_VALUE"""),4.31)</f>
        <v>4.3099999999999996</v>
      </c>
      <c r="D15" s="6" t="str">
        <f ca="1">IFERROR(__xludf.DUMMYFUNCTION("""COMPUTED_VALUE"""),"СП")</f>
        <v>СП</v>
      </c>
      <c r="E15" s="20" t="str">
        <f ca="1">IFERROR(__xludf.DUMMYFUNCTION("""COMPUTED_VALUE"""),"копия")</f>
        <v>копия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26" ht="13.5" customHeight="1">
      <c r="A16" s="19">
        <v>10</v>
      </c>
      <c r="B16" s="20" t="str">
        <f ca="1">IFERROR(__xludf.DUMMYFUNCTION("""COMPUTED_VALUE"""),"Забоева М. А.")</f>
        <v>Забоева М. А.</v>
      </c>
      <c r="C16" s="23">
        <f ca="1">IFERROR(__xludf.DUMMYFUNCTION("""COMPUTED_VALUE"""),4.3)</f>
        <v>4.3</v>
      </c>
      <c r="D16" s="6" t="str">
        <f ca="1">IFERROR(__xludf.DUMMYFUNCTION("""COMPUTED_VALUE"""),"СП")</f>
        <v>СП</v>
      </c>
      <c r="E16" s="20" t="str">
        <f ca="1">IFERROR(__xludf.DUMMYFUNCTION("""COMPUTED_VALUE"""),"копия")</f>
        <v>копия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3.5" customHeight="1">
      <c r="A17" s="19">
        <v>11</v>
      </c>
      <c r="B17" s="20" t="str">
        <f ca="1">IFERROR(__xludf.DUMMYFUNCTION("""COMPUTED_VALUE"""),"Баратова С. Ф.")</f>
        <v>Баратова С. Ф.</v>
      </c>
      <c r="C17" s="23">
        <f ca="1">IFERROR(__xludf.DUMMYFUNCTION("""COMPUTED_VALUE"""),4.26)</f>
        <v>4.26</v>
      </c>
      <c r="D17" s="6" t="str">
        <f ca="1">IFERROR(__xludf.DUMMYFUNCTION("""COMPUTED_VALUE"""),"СП")</f>
        <v>СП</v>
      </c>
      <c r="E17" s="20" t="str">
        <f ca="1">IFERROR(__xludf.DUMMYFUNCTION("""COMPUTED_VALUE"""),"оригинал ")</f>
        <v xml:space="preserve">оригинал 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3.5" customHeight="1">
      <c r="A18" s="19">
        <v>12</v>
      </c>
      <c r="B18" s="20" t="str">
        <f ca="1">IFERROR(__xludf.DUMMYFUNCTION("""COMPUTED_VALUE"""),"Высоцкая Д. Ю.")</f>
        <v>Высоцкая Д. Ю.</v>
      </c>
      <c r="C18" s="23">
        <f ca="1">IFERROR(__xludf.DUMMYFUNCTION("""COMPUTED_VALUE"""),4.25)</f>
        <v>4.25</v>
      </c>
      <c r="D18" s="6" t="str">
        <f ca="1">IFERROR(__xludf.DUMMYFUNCTION("""COMPUTED_VALUE"""),"СП")</f>
        <v>СП</v>
      </c>
      <c r="E18" s="20" t="str">
        <f ca="1">IFERROR(__xludf.DUMMYFUNCTION("""COMPUTED_VALUE"""),"копия")</f>
        <v>копия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3.5" customHeight="1">
      <c r="A19" s="19">
        <v>13</v>
      </c>
      <c r="B19" s="20" t="str">
        <f ca="1">IFERROR(__xludf.DUMMYFUNCTION("""COMPUTED_VALUE"""),"Долгова Ю. О.")</f>
        <v>Долгова Ю. О.</v>
      </c>
      <c r="C19" s="23">
        <f ca="1">IFERROR(__xludf.DUMMYFUNCTION("""COMPUTED_VALUE"""),4.21)</f>
        <v>4.21</v>
      </c>
      <c r="D19" s="6" t="str">
        <f ca="1">IFERROR(__xludf.DUMMYFUNCTION("""COMPUTED_VALUE"""),"СП")</f>
        <v>СП</v>
      </c>
      <c r="E19" s="20" t="str">
        <f ca="1">IFERROR(__xludf.DUMMYFUNCTION("""COMPUTED_VALUE"""),"копия")</f>
        <v>копия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ht="13.5" customHeight="1">
      <c r="A20" s="19">
        <v>14</v>
      </c>
      <c r="B20" s="20" t="str">
        <f ca="1">IFERROR(__xludf.DUMMYFUNCTION("""COMPUTED_VALUE"""),"Щербакова А. Е.")</f>
        <v>Щербакова А. Е.</v>
      </c>
      <c r="C20" s="23">
        <f ca="1">IFERROR(__xludf.DUMMYFUNCTION("""COMPUTED_VALUE"""),4.21)</f>
        <v>4.21</v>
      </c>
      <c r="D20" s="6" t="str">
        <f ca="1">IFERROR(__xludf.DUMMYFUNCTION("""COMPUTED_VALUE"""),"СП")</f>
        <v>СП</v>
      </c>
      <c r="E20" s="20" t="str">
        <f ca="1">IFERROR(__xludf.DUMMYFUNCTION("""COMPUTED_VALUE"""),"копия")</f>
        <v>копия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3.5" customHeight="1">
      <c r="A21" s="19">
        <v>15</v>
      </c>
      <c r="B21" s="20" t="str">
        <f ca="1">IFERROR(__xludf.DUMMYFUNCTION("""COMPUTED_VALUE"""),"Гуменюк Р. Н.")</f>
        <v>Гуменюк Р. Н.</v>
      </c>
      <c r="C21" s="23">
        <f ca="1">IFERROR(__xludf.DUMMYFUNCTION("""COMPUTED_VALUE"""),4.15)</f>
        <v>4.1500000000000004</v>
      </c>
      <c r="D21" s="6" t="str">
        <f ca="1">IFERROR(__xludf.DUMMYFUNCTION("""COMPUTED_VALUE"""),"СП")</f>
        <v>СП</v>
      </c>
      <c r="E21" s="20" t="str">
        <f ca="1">IFERROR(__xludf.DUMMYFUNCTION("""COMPUTED_VALUE"""),"копия")</f>
        <v>копия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3.5" customHeight="1">
      <c r="A22" s="19">
        <v>16</v>
      </c>
      <c r="B22" s="20" t="str">
        <f ca="1">IFERROR(__xludf.DUMMYFUNCTION("""COMPUTED_VALUE"""),"Кетова М. В.")</f>
        <v>Кетова М. В.</v>
      </c>
      <c r="C22" s="23">
        <f ca="1">IFERROR(__xludf.DUMMYFUNCTION("""COMPUTED_VALUE"""),4.15)</f>
        <v>4.1500000000000004</v>
      </c>
      <c r="D22" s="6" t="str">
        <f ca="1">IFERROR(__xludf.DUMMYFUNCTION("""COMPUTED_VALUE"""),"СП")</f>
        <v>СП</v>
      </c>
      <c r="E22" s="20" t="str">
        <f ca="1">IFERROR(__xludf.DUMMYFUNCTION("""COMPUTED_VALUE"""),"копия")</f>
        <v>копия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3.5" customHeight="1">
      <c r="A23" s="19">
        <v>17</v>
      </c>
      <c r="B23" s="20" t="str">
        <f ca="1">IFERROR(__xludf.DUMMYFUNCTION("""COMPUTED_VALUE"""),"Коровина Н.Д.")</f>
        <v>Коровина Н.Д.</v>
      </c>
      <c r="C23" s="23">
        <f ca="1">IFERROR(__xludf.DUMMYFUNCTION("""COMPUTED_VALUE"""),4.15)</f>
        <v>4.1500000000000004</v>
      </c>
      <c r="D23" s="6" t="str">
        <f ca="1">IFERROR(__xludf.DUMMYFUNCTION("""COMPUTED_VALUE"""),"СП")</f>
        <v>СП</v>
      </c>
      <c r="E23" s="20" t="str">
        <f ca="1">IFERROR(__xludf.DUMMYFUNCTION("""COMPUTED_VALUE"""),"копия")</f>
        <v>копия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13.5" customHeight="1">
      <c r="A24" s="19">
        <v>18</v>
      </c>
      <c r="B24" s="20" t="str">
        <f ca="1">IFERROR(__xludf.DUMMYFUNCTION("""COMPUTED_VALUE"""),"Кудашкина К.Е.")</f>
        <v>Кудашкина К.Е.</v>
      </c>
      <c r="C24" s="23">
        <f ca="1">IFERROR(__xludf.DUMMYFUNCTION("""COMPUTED_VALUE"""),4.05)</f>
        <v>4.05</v>
      </c>
      <c r="D24" s="6" t="str">
        <f ca="1">IFERROR(__xludf.DUMMYFUNCTION("""COMPUTED_VALUE"""),"СП")</f>
        <v>СП</v>
      </c>
      <c r="E24" s="20" t="str">
        <f ca="1">IFERROR(__xludf.DUMMYFUNCTION("""COMPUTED_VALUE"""),"копия")</f>
        <v>копия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ht="13.5" customHeight="1">
      <c r="A25" s="19">
        <v>19</v>
      </c>
      <c r="B25" s="20" t="str">
        <f ca="1">IFERROR(__xludf.DUMMYFUNCTION("""COMPUTED_VALUE"""),"Попов А. А.")</f>
        <v>Попов А. А.</v>
      </c>
      <c r="C25" s="23">
        <f ca="1">IFERROR(__xludf.DUMMYFUNCTION("""COMPUTED_VALUE"""),4.05)</f>
        <v>4.05</v>
      </c>
      <c r="D25" s="6" t="str">
        <f ca="1">IFERROR(__xludf.DUMMYFUNCTION("""COMPUTED_VALUE"""),"СП")</f>
        <v>СП</v>
      </c>
      <c r="E25" s="20" t="str">
        <f ca="1">IFERROR(__xludf.DUMMYFUNCTION("""COMPUTED_VALUE"""),"копия")</f>
        <v>копия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ht="13.5" customHeight="1">
      <c r="A26" s="19">
        <v>20</v>
      </c>
      <c r="B26" s="20" t="str">
        <f ca="1">IFERROR(__xludf.DUMMYFUNCTION("""COMPUTED_VALUE"""),"Пыстина М.К.")</f>
        <v>Пыстина М.К.</v>
      </c>
      <c r="C26" s="23">
        <f ca="1">IFERROR(__xludf.DUMMYFUNCTION("""COMPUTED_VALUE"""),4)</f>
        <v>4</v>
      </c>
      <c r="D26" s="6" t="str">
        <f ca="1">IFERROR(__xludf.DUMMYFUNCTION("""COMPUTED_VALUE"""),"СП")</f>
        <v>СП</v>
      </c>
      <c r="E26" s="20" t="str">
        <f ca="1">IFERROR(__xludf.DUMMYFUNCTION("""COMPUTED_VALUE"""),"оригинал")</f>
        <v>оригинал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3.5" customHeight="1">
      <c r="A27" s="19">
        <v>21</v>
      </c>
      <c r="B27" s="20" t="str">
        <f ca="1">IFERROR(__xludf.DUMMYFUNCTION("""COMPUTED_VALUE"""),"Чеботарь К. С.")</f>
        <v>Чеботарь К. С.</v>
      </c>
      <c r="C27" s="23">
        <f ca="1">IFERROR(__xludf.DUMMYFUNCTION("""COMPUTED_VALUE"""),3.95)</f>
        <v>3.95</v>
      </c>
      <c r="D27" s="6" t="str">
        <f ca="1">IFERROR(__xludf.DUMMYFUNCTION("""COMPUTED_VALUE"""),"СП")</f>
        <v>СП</v>
      </c>
      <c r="E27" s="20" t="str">
        <f ca="1">IFERROR(__xludf.DUMMYFUNCTION("""COMPUTED_VALUE"""),"копия")</f>
        <v>копия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3.5" customHeight="1">
      <c r="A28" s="19">
        <v>22</v>
      </c>
      <c r="B28" s="20" t="str">
        <f ca="1">IFERROR(__xludf.DUMMYFUNCTION("""COMPUTED_VALUE"""),"Тришина С.А.")</f>
        <v>Тришина С.А.</v>
      </c>
      <c r="C28" s="23">
        <f ca="1">IFERROR(__xludf.DUMMYFUNCTION("""COMPUTED_VALUE"""),3.94)</f>
        <v>3.94</v>
      </c>
      <c r="D28" s="6" t="str">
        <f ca="1">IFERROR(__xludf.DUMMYFUNCTION("""COMPUTED_VALUE"""),"СП")</f>
        <v>СП</v>
      </c>
      <c r="E28" s="20" t="str">
        <f ca="1">IFERROR(__xludf.DUMMYFUNCTION("""COMPUTED_VALUE"""),"оригинал")</f>
        <v>оригинал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3.5" customHeight="1">
      <c r="A29" s="19">
        <v>23</v>
      </c>
      <c r="B29" s="20" t="str">
        <f ca="1">IFERROR(__xludf.DUMMYFUNCTION("""COMPUTED_VALUE"""),"Малкова Я. Д.")</f>
        <v>Малкова Я. Д.</v>
      </c>
      <c r="C29" s="23">
        <f ca="1">IFERROR(__xludf.DUMMYFUNCTION("""COMPUTED_VALUE"""),3.94)</f>
        <v>3.94</v>
      </c>
      <c r="D29" s="6" t="str">
        <f ca="1">IFERROR(__xludf.DUMMYFUNCTION("""COMPUTED_VALUE"""),"СП")</f>
        <v>СП</v>
      </c>
      <c r="E29" s="20" t="str">
        <f ca="1">IFERROR(__xludf.DUMMYFUNCTION("""COMPUTED_VALUE"""),"копия")</f>
        <v>копия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13.5" customHeight="1">
      <c r="A30" s="19">
        <v>24</v>
      </c>
      <c r="B30" s="20" t="str">
        <f ca="1">IFERROR(__xludf.DUMMYFUNCTION("""COMPUTED_VALUE"""),"Морозова О.Д.")</f>
        <v>Морозова О.Д.</v>
      </c>
      <c r="C30" s="23">
        <f ca="1">IFERROR(__xludf.DUMMYFUNCTION("""COMPUTED_VALUE"""),3.94)</f>
        <v>3.94</v>
      </c>
      <c r="D30" s="6" t="str">
        <f ca="1">IFERROR(__xludf.DUMMYFUNCTION("""COMPUTED_VALUE"""),"СП")</f>
        <v>СП</v>
      </c>
      <c r="E30" s="20" t="str">
        <f ca="1">IFERROR(__xludf.DUMMYFUNCTION("""COMPUTED_VALUE"""),"копия")</f>
        <v>копия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13.5" customHeight="1">
      <c r="A31" s="19">
        <v>25</v>
      </c>
      <c r="B31" s="20" t="str">
        <f ca="1">IFERROR(__xludf.DUMMYFUNCTION("""COMPUTED_VALUE"""),"Торлопова А. С.")</f>
        <v>Торлопова А. С.</v>
      </c>
      <c r="C31" s="23">
        <f ca="1">IFERROR(__xludf.DUMMYFUNCTION("""COMPUTED_VALUE"""),3.94)</f>
        <v>3.94</v>
      </c>
      <c r="D31" s="6" t="str">
        <f ca="1">IFERROR(__xludf.DUMMYFUNCTION("""COMPUTED_VALUE"""),"СП")</f>
        <v>СП</v>
      </c>
      <c r="E31" s="20" t="str">
        <f ca="1">IFERROR(__xludf.DUMMYFUNCTION("""COMPUTED_VALUE"""),"копия")</f>
        <v>копия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ht="13.5" customHeight="1">
      <c r="A32" s="19">
        <v>26</v>
      </c>
      <c r="B32" s="20" t="str">
        <f ca="1">IFERROR(__xludf.DUMMYFUNCTION("""COMPUTED_VALUE"""),"Ракита А.Е.")</f>
        <v>Ракита А.Е.</v>
      </c>
      <c r="C32" s="23">
        <f ca="1">IFERROR(__xludf.DUMMYFUNCTION("""COMPUTED_VALUE"""),3.9)</f>
        <v>3.9</v>
      </c>
      <c r="D32" s="6" t="str">
        <f ca="1">IFERROR(__xludf.DUMMYFUNCTION("""COMPUTED_VALUE"""),"СП")</f>
        <v>СП</v>
      </c>
      <c r="E32" s="20" t="str">
        <f ca="1">IFERROR(__xludf.DUMMYFUNCTION("""COMPUTED_VALUE"""),"копия")</f>
        <v>копия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23" ht="13.5" customHeight="1">
      <c r="A33" s="19">
        <v>27</v>
      </c>
      <c r="B33" s="20" t="str">
        <f ca="1">IFERROR(__xludf.DUMMYFUNCTION("""COMPUTED_VALUE"""),"Брылякова Е. А.")</f>
        <v>Брылякова Е. А.</v>
      </c>
      <c r="C33" s="23">
        <f ca="1">IFERROR(__xludf.DUMMYFUNCTION("""COMPUTED_VALUE"""),3.9)</f>
        <v>3.9</v>
      </c>
      <c r="D33" s="6" t="str">
        <f ca="1">IFERROR(__xludf.DUMMYFUNCTION("""COMPUTED_VALUE"""),"СП")</f>
        <v>СП</v>
      </c>
      <c r="E33" s="20" t="str">
        <f ca="1">IFERROR(__xludf.DUMMYFUNCTION("""COMPUTED_VALUE"""),"копия")</f>
        <v>копия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23" ht="13.5" customHeight="1">
      <c r="A34" s="19">
        <v>28</v>
      </c>
      <c r="B34" s="20" t="str">
        <f ca="1">IFERROR(__xludf.DUMMYFUNCTION("""COMPUTED_VALUE"""),"Колыгина К.А.")</f>
        <v>Колыгина К.А.</v>
      </c>
      <c r="C34" s="23">
        <f ca="1">IFERROR(__xludf.DUMMYFUNCTION("""COMPUTED_VALUE"""),3.89)</f>
        <v>3.89</v>
      </c>
      <c r="D34" s="6" t="str">
        <f ca="1">IFERROR(__xludf.DUMMYFUNCTION("""COMPUTED_VALUE"""),"СП")</f>
        <v>СП</v>
      </c>
      <c r="E34" s="20" t="str">
        <f ca="1">IFERROR(__xludf.DUMMYFUNCTION("""COMPUTED_VALUE"""),"копия")</f>
        <v>копия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23" ht="13.5" customHeight="1">
      <c r="A35" s="19">
        <v>29</v>
      </c>
      <c r="B35" s="20" t="str">
        <f ca="1">IFERROR(__xludf.DUMMYFUNCTION("""COMPUTED_VALUE"""),"Соловьев А.А.")</f>
        <v>Соловьев А.А.</v>
      </c>
      <c r="C35" s="23">
        <f ca="1">IFERROR(__xludf.DUMMYFUNCTION("""COMPUTED_VALUE"""),3.88)</f>
        <v>3.88</v>
      </c>
      <c r="D35" s="6" t="str">
        <f ca="1">IFERROR(__xludf.DUMMYFUNCTION("""COMPUTED_VALUE"""),"СП")</f>
        <v>СП</v>
      </c>
      <c r="E35" s="20" t="str">
        <f ca="1">IFERROR(__xludf.DUMMYFUNCTION("""COMPUTED_VALUE"""),"копия")</f>
        <v>копия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23" ht="13.5" customHeight="1">
      <c r="A36" s="19">
        <v>30</v>
      </c>
      <c r="B36" s="20" t="str">
        <f ca="1">IFERROR(__xludf.DUMMYFUNCTION("""COMPUTED_VALUE"""),"Ясютина К. Е.")</f>
        <v>Ясютина К. Е.</v>
      </c>
      <c r="C36" s="23">
        <f ca="1">IFERROR(__xludf.DUMMYFUNCTION("""COMPUTED_VALUE"""),3.88)</f>
        <v>3.88</v>
      </c>
      <c r="D36" s="6" t="str">
        <f ca="1">IFERROR(__xludf.DUMMYFUNCTION("""COMPUTED_VALUE"""),"СП")</f>
        <v>СП</v>
      </c>
      <c r="E36" s="20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23" ht="13.5" customHeight="1">
      <c r="A37" s="30">
        <v>31</v>
      </c>
      <c r="B37" s="20" t="str">
        <f ca="1">IFERROR(__xludf.DUMMYFUNCTION("""COMPUTED_VALUE"""),"Карманов Е. С.")</f>
        <v>Карманов Е. С.</v>
      </c>
      <c r="C37" s="23">
        <f ca="1">IFERROR(__xludf.DUMMYFUNCTION("""COMPUTED_VALUE"""),3.85)</f>
        <v>3.85</v>
      </c>
      <c r="D37" s="6" t="str">
        <f ca="1">IFERROR(__xludf.DUMMYFUNCTION("""COMPUTED_VALUE"""),"СП")</f>
        <v>СП</v>
      </c>
      <c r="E37" s="20" t="str">
        <f ca="1">IFERROR(__xludf.DUMMYFUNCTION("""COMPUTED_VALUE"""),"копия")</f>
        <v>копия</v>
      </c>
      <c r="F37" s="6"/>
      <c r="G37" s="6"/>
      <c r="H37" s="6"/>
      <c r="I37" s="6"/>
      <c r="J37" s="6"/>
      <c r="K37" s="6"/>
      <c r="L37" s="6"/>
      <c r="M37" s="6"/>
      <c r="N37" s="6"/>
    </row>
    <row r="38" spans="1:23" ht="13.5" customHeight="1">
      <c r="A38" s="30">
        <v>32</v>
      </c>
      <c r="B38" s="20" t="str">
        <f ca="1">IFERROR(__xludf.DUMMYFUNCTION("""COMPUTED_VALUE"""),"Карпова С. Н.")</f>
        <v>Карпова С. Н.</v>
      </c>
      <c r="C38" s="23">
        <f ca="1">IFERROR(__xludf.DUMMYFUNCTION("""COMPUTED_VALUE"""),3.84)</f>
        <v>3.84</v>
      </c>
      <c r="D38" s="6" t="str">
        <f ca="1">IFERROR(__xludf.DUMMYFUNCTION("""COMPUTED_VALUE"""),"СП")</f>
        <v>СП</v>
      </c>
      <c r="E38" s="20" t="str">
        <f ca="1">IFERROR(__xludf.DUMMYFUNCTION("""COMPUTED_VALUE"""),"копия")</f>
        <v>копия</v>
      </c>
      <c r="F38" s="6"/>
      <c r="G38" s="6"/>
      <c r="H38" s="6"/>
      <c r="I38" s="6"/>
      <c r="J38" s="6"/>
      <c r="K38" s="6"/>
      <c r="L38" s="6"/>
      <c r="M38" s="6"/>
      <c r="N38" s="6"/>
    </row>
    <row r="39" spans="1:23" ht="13.5" customHeight="1">
      <c r="A39" s="30">
        <v>33</v>
      </c>
      <c r="B39" s="20" t="str">
        <f ca="1">IFERROR(__xludf.DUMMYFUNCTION("""COMPUTED_VALUE"""),"Фадеева К. В.")</f>
        <v>Фадеева К. В.</v>
      </c>
      <c r="C39" s="23">
        <f ca="1">IFERROR(__xludf.DUMMYFUNCTION("""COMPUTED_VALUE"""),3.84)</f>
        <v>3.84</v>
      </c>
      <c r="D39" s="6" t="str">
        <f ca="1">IFERROR(__xludf.DUMMYFUNCTION("""COMPUTED_VALUE"""),"СП")</f>
        <v>СП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</row>
    <row r="40" spans="1:23" ht="13.5" customHeight="1">
      <c r="A40" s="30">
        <v>34</v>
      </c>
      <c r="B40" s="20" t="str">
        <f ca="1">IFERROR(__xludf.DUMMYFUNCTION("""COMPUTED_VALUE"""),"Яхина С. А.")</f>
        <v>Яхина С. А.</v>
      </c>
      <c r="C40" s="23">
        <f ca="1">IFERROR(__xludf.DUMMYFUNCTION("""COMPUTED_VALUE"""),3.8)</f>
        <v>3.8</v>
      </c>
      <c r="D40" s="6" t="str">
        <f ca="1">IFERROR(__xludf.DUMMYFUNCTION("""COMPUTED_VALUE"""),"СП")</f>
        <v>СП</v>
      </c>
      <c r="E40" s="20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</row>
    <row r="41" spans="1:23" ht="13.5" customHeight="1">
      <c r="A41" s="30">
        <v>35</v>
      </c>
      <c r="B41" s="20" t="str">
        <f ca="1">IFERROR(__xludf.DUMMYFUNCTION("""COMPUTED_VALUE"""),"Прокудина В.В.")</f>
        <v>Прокудина В.В.</v>
      </c>
      <c r="C41" s="23">
        <f ca="1">IFERROR(__xludf.DUMMYFUNCTION("""COMPUTED_VALUE"""),3.79)</f>
        <v>3.79</v>
      </c>
      <c r="D41" s="6" t="str">
        <f ca="1">IFERROR(__xludf.DUMMYFUNCTION("""COMPUTED_VALUE"""),"СП")</f>
        <v>СП</v>
      </c>
      <c r="E41" s="20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</row>
    <row r="42" spans="1:23" ht="13.5" customHeight="1">
      <c r="A42" s="30">
        <v>36</v>
      </c>
      <c r="B42" s="20" t="str">
        <f ca="1">IFERROR(__xludf.DUMMYFUNCTION("""COMPUTED_VALUE"""),"Тоноян Г. А.")</f>
        <v>Тоноян Г. А.</v>
      </c>
      <c r="C42" s="23">
        <f ca="1">IFERROR(__xludf.DUMMYFUNCTION("""COMPUTED_VALUE"""),3.78)</f>
        <v>3.78</v>
      </c>
      <c r="D42" s="32" t="str">
        <f ca="1">IFERROR(__xludf.DUMMYFUNCTION("""COMPUTED_VALUE"""),"СП")</f>
        <v>СП</v>
      </c>
      <c r="E42" s="20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3.5" customHeight="1">
      <c r="A43" s="30">
        <v>37</v>
      </c>
      <c r="B43" s="20" t="str">
        <f ca="1">IFERROR(__xludf.DUMMYFUNCTION("""COMPUTED_VALUE"""),"Ракина С. В.")</f>
        <v>Ракина С. В.</v>
      </c>
      <c r="C43" s="23">
        <f ca="1">IFERROR(__xludf.DUMMYFUNCTION("""COMPUTED_VALUE"""),3.78)</f>
        <v>3.78</v>
      </c>
      <c r="D43" s="32" t="str">
        <f ca="1">IFERROR(__xludf.DUMMYFUNCTION("""COMPUTED_VALUE"""),"СП")</f>
        <v>СП</v>
      </c>
      <c r="E43" s="20" t="str">
        <f ca="1">IFERROR(__xludf.DUMMYFUNCTION("""COMPUTED_VALUE"""),"копия")</f>
        <v>копия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3.5" customHeight="1">
      <c r="A44" s="30">
        <v>38</v>
      </c>
      <c r="B44" s="20" t="str">
        <f ca="1">IFERROR(__xludf.DUMMYFUNCTION("""COMPUTED_VALUE"""),"Бондарь А. Н.")</f>
        <v>Бондарь А. Н.</v>
      </c>
      <c r="C44" s="23">
        <f ca="1">IFERROR(__xludf.DUMMYFUNCTION("""COMPUTED_VALUE"""),3.78)</f>
        <v>3.78</v>
      </c>
      <c r="D44" s="32" t="str">
        <f ca="1">IFERROR(__xludf.DUMMYFUNCTION("""COMPUTED_VALUE"""),"СП")</f>
        <v>СП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3.5" customHeight="1">
      <c r="A45" s="30">
        <v>39</v>
      </c>
      <c r="B45" s="20" t="str">
        <f ca="1">IFERROR(__xludf.DUMMYFUNCTION("""COMPUTED_VALUE"""),"Забоева Д. И.")</f>
        <v>Забоева Д. И.</v>
      </c>
      <c r="C45" s="23">
        <f ca="1">IFERROR(__xludf.DUMMYFUNCTION("""COMPUTED_VALUE"""),3.73)</f>
        <v>3.73</v>
      </c>
      <c r="D45" s="32" t="str">
        <f ca="1">IFERROR(__xludf.DUMMYFUNCTION("""COMPUTED_VALUE"""),"СП")</f>
        <v>СП</v>
      </c>
      <c r="E45" s="20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3.5" customHeight="1">
      <c r="A46" s="30">
        <v>40</v>
      </c>
      <c r="B46" s="20" t="str">
        <f ca="1">IFERROR(__xludf.DUMMYFUNCTION("""COMPUTED_VALUE"""),"Тереньтева М. В.")</f>
        <v>Тереньтева М. В.</v>
      </c>
      <c r="C46" s="23">
        <f ca="1">IFERROR(__xludf.DUMMYFUNCTION("""COMPUTED_VALUE"""),3.72)</f>
        <v>3.72</v>
      </c>
      <c r="D46" s="32" t="str">
        <f ca="1">IFERROR(__xludf.DUMMYFUNCTION("""COMPUTED_VALUE"""),"СП")</f>
        <v>СП</v>
      </c>
      <c r="E46" s="20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3.5" customHeight="1">
      <c r="A47" s="30">
        <v>41</v>
      </c>
      <c r="B47" s="20" t="str">
        <f ca="1">IFERROR(__xludf.DUMMYFUNCTION("""COMPUTED_VALUE"""),"Комарова Н. А.")</f>
        <v>Комарова Н. А.</v>
      </c>
      <c r="C47" s="23">
        <f ca="1">IFERROR(__xludf.DUMMYFUNCTION("""COMPUTED_VALUE"""),3.7)</f>
        <v>3.7</v>
      </c>
      <c r="D47" s="32" t="str">
        <f ca="1">IFERROR(__xludf.DUMMYFUNCTION("""COMPUTED_VALUE"""),"СП")</f>
        <v>СП</v>
      </c>
      <c r="E47" s="20" t="str">
        <f ca="1">IFERROR(__xludf.DUMMYFUNCTION("""COMPUTED_VALUE"""),"оригинал")</f>
        <v>оригинал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3.5" customHeight="1">
      <c r="A48" s="30">
        <v>42</v>
      </c>
      <c r="B48" s="20" t="str">
        <f ca="1">IFERROR(__xludf.DUMMYFUNCTION("""COMPUTED_VALUE"""),"Чеусова А. А.")</f>
        <v>Чеусова А. А.</v>
      </c>
      <c r="C48" s="23">
        <f ca="1">IFERROR(__xludf.DUMMYFUNCTION("""COMPUTED_VALUE"""),3.68)</f>
        <v>3.68</v>
      </c>
      <c r="D48" s="32" t="str">
        <f ca="1">IFERROR(__xludf.DUMMYFUNCTION("""COMPUTED_VALUE"""),"СП")</f>
        <v>СП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30">
        <v>43</v>
      </c>
      <c r="B49" s="20" t="str">
        <f ca="1">IFERROR(__xludf.DUMMYFUNCTION("""COMPUTED_VALUE"""),"Чеусова А. А.")</f>
        <v>Чеусова А. А.</v>
      </c>
      <c r="C49" s="23">
        <f ca="1">IFERROR(__xludf.DUMMYFUNCTION("""COMPUTED_VALUE"""),3.68)</f>
        <v>3.68</v>
      </c>
      <c r="D49" s="32" t="str">
        <f ca="1">IFERROR(__xludf.DUMMYFUNCTION("""COMPUTED_VALUE"""),"СП")</f>
        <v>СП</v>
      </c>
      <c r="E49" s="20" t="str">
        <f ca="1">IFERROR(__xludf.DUMMYFUNCTION("""COMPUTED_VALUE"""),"копия")</f>
        <v>копия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30">
        <v>44</v>
      </c>
      <c r="B50" s="20" t="str">
        <f ca="1">IFERROR(__xludf.DUMMYFUNCTION("""COMPUTED_VALUE"""),"Ремейкис М. В.")</f>
        <v>Ремейкис М. В.</v>
      </c>
      <c r="C50" s="23">
        <f ca="1">IFERROR(__xludf.DUMMYFUNCTION("""COMPUTED_VALUE"""),3.65)</f>
        <v>3.65</v>
      </c>
      <c r="D50" s="32" t="str">
        <f ca="1">IFERROR(__xludf.DUMMYFUNCTION("""COMPUTED_VALUE"""),"СП")</f>
        <v>СП</v>
      </c>
      <c r="E50" s="20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30">
        <v>45</v>
      </c>
      <c r="B51" s="20" t="str">
        <f ca="1">IFERROR(__xludf.DUMMYFUNCTION("""COMPUTED_VALUE"""),"Елькин Д. А.")</f>
        <v>Елькин Д. А.</v>
      </c>
      <c r="C51" s="23">
        <f ca="1">IFERROR(__xludf.DUMMYFUNCTION("""COMPUTED_VALUE"""),3.63)</f>
        <v>3.63</v>
      </c>
      <c r="D51" s="32" t="str">
        <f ca="1">IFERROR(__xludf.DUMMYFUNCTION("""COMPUTED_VALUE"""),"СП")</f>
        <v>СП</v>
      </c>
      <c r="E51" s="20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30">
        <v>46</v>
      </c>
      <c r="B52" s="20" t="str">
        <f ca="1">IFERROR(__xludf.DUMMYFUNCTION("""COMPUTED_VALUE"""),"Юрьева А. Н.")</f>
        <v>Юрьева А. Н.</v>
      </c>
      <c r="C52" s="23">
        <f ca="1">IFERROR(__xludf.DUMMYFUNCTION("""COMPUTED_VALUE"""),3.63)</f>
        <v>3.63</v>
      </c>
      <c r="D52" s="32" t="str">
        <f ca="1">IFERROR(__xludf.DUMMYFUNCTION("""COMPUTED_VALUE"""),"СП")</f>
        <v>СП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30">
        <v>47</v>
      </c>
      <c r="B53" s="20" t="str">
        <f ca="1">IFERROR(__xludf.DUMMYFUNCTION("""COMPUTED_VALUE"""),"Алдушина К. А.")</f>
        <v>Алдушина К. А.</v>
      </c>
      <c r="C53" s="23">
        <f ca="1">IFERROR(__xludf.DUMMYFUNCTION("""COMPUTED_VALUE"""),3.63)</f>
        <v>3.63</v>
      </c>
      <c r="D53" s="32" t="str">
        <f ca="1">IFERROR(__xludf.DUMMYFUNCTION("""COMPUTED_VALUE"""),"СП")</f>
        <v>СП</v>
      </c>
      <c r="E53" s="20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30">
        <v>48</v>
      </c>
      <c r="B54" s="20" t="str">
        <f ca="1">IFERROR(__xludf.DUMMYFUNCTION("""COMPUTED_VALUE"""),"Шадрин Я. А.")</f>
        <v>Шадрин Я. А.</v>
      </c>
      <c r="C54" s="23">
        <f ca="1">IFERROR(__xludf.DUMMYFUNCTION("""COMPUTED_VALUE"""),3.63)</f>
        <v>3.63</v>
      </c>
      <c r="D54" s="32" t="str">
        <f ca="1">IFERROR(__xludf.DUMMYFUNCTION("""COMPUTED_VALUE"""),"СП")</f>
        <v>СП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30">
        <v>49</v>
      </c>
      <c r="B55" s="20" t="str">
        <f ca="1">IFERROR(__xludf.DUMMYFUNCTION("""COMPUTED_VALUE"""),"Кутепова Д. В.")</f>
        <v>Кутепова Д. В.</v>
      </c>
      <c r="C55" s="23">
        <f ca="1">IFERROR(__xludf.DUMMYFUNCTION("""COMPUTED_VALUE"""),3.63)</f>
        <v>3.63</v>
      </c>
      <c r="D55" s="32" t="str">
        <f ca="1">IFERROR(__xludf.DUMMYFUNCTION("""COMPUTED_VALUE"""),"СП")</f>
        <v>СП</v>
      </c>
      <c r="E55" s="20" t="str">
        <f ca="1">IFERROR(__xludf.DUMMYFUNCTION("""COMPUTED_VALUE"""),"оригинал")</f>
        <v>оригинал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30">
        <v>50</v>
      </c>
      <c r="B56" s="20" t="str">
        <f ca="1">IFERROR(__xludf.DUMMYFUNCTION("""COMPUTED_VALUE"""),"Юрьева А.Н.")</f>
        <v>Юрьева А.Н.</v>
      </c>
      <c r="C56" s="23">
        <f ca="1">IFERROR(__xludf.DUMMYFUNCTION("""COMPUTED_VALUE"""),3.63)</f>
        <v>3.63</v>
      </c>
      <c r="D56" s="32" t="str">
        <f ca="1">IFERROR(__xludf.DUMMYFUNCTION("""COMPUTED_VALUE"""),"СП")</f>
        <v>СП</v>
      </c>
      <c r="E56" s="20" t="str">
        <f ca="1">IFERROR(__xludf.DUMMYFUNCTION("""COMPUTED_VALUE"""),"оригинал")</f>
        <v>оригинал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30">
        <v>51</v>
      </c>
      <c r="B57" s="20" t="str">
        <f ca="1">IFERROR(__xludf.DUMMYFUNCTION("""COMPUTED_VALUE"""),"Рокина В. Е.")</f>
        <v>Рокина В. Е.</v>
      </c>
      <c r="C57" s="23">
        <f ca="1">IFERROR(__xludf.DUMMYFUNCTION("""COMPUTED_VALUE"""),3.62)</f>
        <v>3.62</v>
      </c>
      <c r="D57" s="32" t="str">
        <f ca="1">IFERROR(__xludf.DUMMYFUNCTION("""COMPUTED_VALUE"""),"СП")</f>
        <v>СП</v>
      </c>
      <c r="E57" s="20" t="str">
        <f ca="1">IFERROR(__xludf.DUMMYFUNCTION("""COMPUTED_VALUE"""),"оригинал")</f>
        <v>оригинал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30">
        <v>52</v>
      </c>
      <c r="B58" s="20" t="str">
        <f ca="1">IFERROR(__xludf.DUMMYFUNCTION("""COMPUTED_VALUE"""),"Потолицына С. Р.")</f>
        <v>Потолицына С. Р.</v>
      </c>
      <c r="C58" s="23">
        <f ca="1">IFERROR(__xludf.DUMMYFUNCTION("""COMPUTED_VALUE"""),3.59)</f>
        <v>3.59</v>
      </c>
      <c r="D58" s="32" t="str">
        <f ca="1">IFERROR(__xludf.DUMMYFUNCTION("""COMPUTED_VALUE"""),"СП")</f>
        <v>СП</v>
      </c>
      <c r="E58" s="20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30">
        <v>53</v>
      </c>
      <c r="B59" s="20" t="str">
        <f ca="1">IFERROR(__xludf.DUMMYFUNCTION("""COMPUTED_VALUE"""),"Мартюшева К. В.")</f>
        <v>Мартюшева К. В.</v>
      </c>
      <c r="C59" s="22">
        <f ca="1">IFERROR(__xludf.DUMMYFUNCTION("""COMPUTED_VALUE"""),3.58)</f>
        <v>3.58</v>
      </c>
      <c r="D59" s="20" t="str">
        <f ca="1">IFERROR(__xludf.DUMMYFUNCTION("""COMPUTED_VALUE"""),"СП")</f>
        <v>СП</v>
      </c>
      <c r="E59" s="20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30">
        <v>54</v>
      </c>
      <c r="B60" s="20" t="str">
        <f ca="1">IFERROR(__xludf.DUMMYFUNCTION("""COMPUTED_VALUE"""),"Попова В.Н.")</f>
        <v>Попова В.Н.</v>
      </c>
      <c r="C60" s="22">
        <f ca="1">IFERROR(__xludf.DUMMYFUNCTION("""COMPUTED_VALUE"""),3.58)</f>
        <v>3.58</v>
      </c>
      <c r="D60" s="20" t="str">
        <f ca="1">IFERROR(__xludf.DUMMYFUNCTION("""COMPUTED_VALUE"""),"СП")</f>
        <v>СП</v>
      </c>
      <c r="E60" s="20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30">
        <v>55</v>
      </c>
      <c r="B61" s="20" t="str">
        <f ca="1">IFERROR(__xludf.DUMMYFUNCTION("""COMPUTED_VALUE"""),"Софьин И. С.")</f>
        <v>Софьин И. С.</v>
      </c>
      <c r="C61" s="22">
        <f ca="1">IFERROR(__xludf.DUMMYFUNCTION("""COMPUTED_VALUE"""),3.58)</f>
        <v>3.58</v>
      </c>
      <c r="D61" s="20" t="str">
        <f ca="1">IFERROR(__xludf.DUMMYFUNCTION("""COMPUTED_VALUE"""),"СП")</f>
        <v>СП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30">
        <v>56</v>
      </c>
      <c r="B62" s="20" t="str">
        <f ca="1">IFERROR(__xludf.DUMMYFUNCTION("""COMPUTED_VALUE"""),"Платто В. А.")</f>
        <v>Платто В. А.</v>
      </c>
      <c r="C62" s="22">
        <f ca="1">IFERROR(__xludf.DUMMYFUNCTION("""COMPUTED_VALUE"""),3.56)</f>
        <v>3.56</v>
      </c>
      <c r="D62" s="20" t="str">
        <f ca="1">IFERROR(__xludf.DUMMYFUNCTION("""COMPUTED_VALUE"""),"СП")</f>
        <v>СП</v>
      </c>
      <c r="E62" s="20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30">
        <v>57</v>
      </c>
      <c r="B63" s="20" t="str">
        <f ca="1">IFERROR(__xludf.DUMMYFUNCTION("""COMPUTED_VALUE"""),"Соловей А.С.")</f>
        <v>Соловей А.С.</v>
      </c>
      <c r="C63" s="22">
        <f ca="1">IFERROR(__xludf.DUMMYFUNCTION("""COMPUTED_VALUE"""),3.55)</f>
        <v>3.55</v>
      </c>
      <c r="D63" s="20" t="str">
        <f ca="1">IFERROR(__xludf.DUMMYFUNCTION("""COMPUTED_VALUE"""),"СП")</f>
        <v>СП</v>
      </c>
      <c r="E63" s="20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30">
        <v>58</v>
      </c>
      <c r="B64" s="20" t="str">
        <f ca="1">IFERROR(__xludf.DUMMYFUNCTION("""COMPUTED_VALUE"""),"Соловей А. С.")</f>
        <v>Соловей А. С.</v>
      </c>
      <c r="C64" s="22">
        <f ca="1">IFERROR(__xludf.DUMMYFUNCTION("""COMPUTED_VALUE"""),3.55)</f>
        <v>3.55</v>
      </c>
      <c r="D64" s="20" t="str">
        <f ca="1">IFERROR(__xludf.DUMMYFUNCTION("""COMPUTED_VALUE"""),"СП")</f>
        <v>СП</v>
      </c>
      <c r="E64" s="20" t="str">
        <f ca="1">IFERROR(__xludf.DUMMYFUNCTION("""COMPUTED_VALUE"""),"оригинал")</f>
        <v>оригинал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30">
        <v>59</v>
      </c>
      <c r="B65" s="20" t="str">
        <f ca="1">IFERROR(__xludf.DUMMYFUNCTION("""COMPUTED_VALUE"""),"Некрасова Ф. С.")</f>
        <v>Некрасова Ф. С.</v>
      </c>
      <c r="C65" s="22">
        <f ca="1">IFERROR(__xludf.DUMMYFUNCTION("""COMPUTED_VALUE"""),3.53)</f>
        <v>3.53</v>
      </c>
      <c r="D65" s="20" t="str">
        <f ca="1">IFERROR(__xludf.DUMMYFUNCTION("""COMPUTED_VALUE"""),"СП")</f>
        <v>СП</v>
      </c>
      <c r="E65" s="20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20" t="str">
        <f ca="1">IFERROR(__xludf.DUMMYFUNCTION("""COMPUTED_VALUE"""),"Рассыхаева К.
 Е.")</f>
        <v>Рассыхаева К.
 Е.</v>
      </c>
      <c r="C66" s="22">
        <f ca="1">IFERROR(__xludf.DUMMYFUNCTION("""COMPUTED_VALUE"""),3.52)</f>
        <v>3.52</v>
      </c>
      <c r="D66" s="20" t="str">
        <f ca="1">IFERROR(__xludf.DUMMYFUNCTION("""COMPUTED_VALUE"""),"СП")</f>
        <v>СП</v>
      </c>
      <c r="E66" s="20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20" t="str">
        <f ca="1">IFERROR(__xludf.DUMMYFUNCTION("""COMPUTED_VALUE"""),"Рассыхаева К.
 Е.")</f>
        <v>Рассыхаева К.
 Е.</v>
      </c>
      <c r="C67" s="22">
        <f ca="1">IFERROR(__xludf.DUMMYFUNCTION("""COMPUTED_VALUE"""),3.52)</f>
        <v>3.52</v>
      </c>
      <c r="D67" s="20" t="str">
        <f ca="1">IFERROR(__xludf.DUMMYFUNCTION("""COMPUTED_VALUE"""),"СП")</f>
        <v>СП</v>
      </c>
      <c r="E67" s="20" t="str">
        <f ca="1">IFERROR(__xludf.DUMMYFUNCTION("""COMPUTED_VALUE"""),"оригинал")</f>
        <v>оригинал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20" t="str">
        <f ca="1">IFERROR(__xludf.DUMMYFUNCTION("""COMPUTED_VALUE"""),"Шиликовская Г. А.")</f>
        <v>Шиликовская Г. А.</v>
      </c>
      <c r="C68" s="20">
        <f ca="1">IFERROR(__xludf.DUMMYFUNCTION("""COMPUTED_VALUE"""),3.5)</f>
        <v>3.5</v>
      </c>
      <c r="D68" s="20" t="str">
        <f ca="1">IFERROR(__xludf.DUMMYFUNCTION("""COMPUTED_VALUE"""),"СП")</f>
        <v>СП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20" t="str">
        <f ca="1">IFERROR(__xludf.DUMMYFUNCTION("""COMPUTED_VALUE"""),"Кузнецова В.Н.")</f>
        <v>Кузнецова В.Н.</v>
      </c>
      <c r="C69" s="22">
        <f ca="1">IFERROR(__xludf.DUMMYFUNCTION("""COMPUTED_VALUE"""),3.5)</f>
        <v>3.5</v>
      </c>
      <c r="D69" s="20" t="str">
        <f ca="1">IFERROR(__xludf.DUMMYFUNCTION("""COMPUTED_VALUE"""),"СП")</f>
        <v>СП</v>
      </c>
      <c r="E69" s="20" t="str">
        <f ca="1">IFERROR(__xludf.DUMMYFUNCTION("""COMPUTED_VALUE"""),"оригинал ")</f>
        <v xml:space="preserve">оригинал 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20" t="str">
        <f ca="1">IFERROR(__xludf.DUMMYFUNCTION("""COMPUTED_VALUE"""),"Эрлих Е. А.")</f>
        <v>Эрлих Е. А.</v>
      </c>
      <c r="C70" s="22">
        <f ca="1">IFERROR(__xludf.DUMMYFUNCTION("""COMPUTED_VALUE"""),3.5)</f>
        <v>3.5</v>
      </c>
      <c r="D70" s="20" t="str">
        <f ca="1">IFERROR(__xludf.DUMMYFUNCTION("""COMPUTED_VALUE"""),"СП")</f>
        <v>СП</v>
      </c>
      <c r="E70" s="20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20" t="str">
        <f ca="1">IFERROR(__xludf.DUMMYFUNCTION("""COMPUTED_VALUE"""),"Дуркина Е. 
 В.")</f>
        <v>Дуркина Е. 
 В.</v>
      </c>
      <c r="C71" s="22">
        <f ca="1">IFERROR(__xludf.DUMMYFUNCTION("""COMPUTED_VALUE"""),3.47)</f>
        <v>3.47</v>
      </c>
      <c r="D71" s="20" t="str">
        <f ca="1">IFERROR(__xludf.DUMMYFUNCTION("""COMPUTED_VALUE"""),"СП")</f>
        <v>СП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20" t="str">
        <f ca="1">IFERROR(__xludf.DUMMYFUNCTION("""COMPUTED_VALUE"""),"Кочанова Н.С.")</f>
        <v>Кочанова Н.С.</v>
      </c>
      <c r="C72" s="22">
        <f ca="1">IFERROR(__xludf.DUMMYFUNCTION("""COMPUTED_VALUE"""),3.47)</f>
        <v>3.47</v>
      </c>
      <c r="D72" s="20" t="str">
        <f ca="1">IFERROR(__xludf.DUMMYFUNCTION("""COMPUTED_VALUE"""),"СП")</f>
        <v>СП</v>
      </c>
      <c r="E72" s="20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20" t="str">
        <f ca="1">IFERROR(__xludf.DUMMYFUNCTION("""COMPUTED_VALUE"""),"Цуманкова А. Е.")</f>
        <v>Цуманкова А. Е.</v>
      </c>
      <c r="C73" s="22">
        <f ca="1">IFERROR(__xludf.DUMMYFUNCTION("""COMPUTED_VALUE"""),3.47)</f>
        <v>3.47</v>
      </c>
      <c r="D73" s="20" t="str">
        <f ca="1">IFERROR(__xludf.DUMMYFUNCTION("""COMPUTED_VALUE"""),"СП")</f>
        <v>СП</v>
      </c>
      <c r="E73" s="20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20" t="str">
        <f ca="1">IFERROR(__xludf.DUMMYFUNCTION("""COMPUTED_VALUE"""),"Шевелева Я. С.")</f>
        <v>Шевелева Я. С.</v>
      </c>
      <c r="C74" s="22">
        <f ca="1">IFERROR(__xludf.DUMMYFUNCTION("""COMPUTED_VALUE"""),3.45)</f>
        <v>3.45</v>
      </c>
      <c r="D74" s="20" t="str">
        <f ca="1">IFERROR(__xludf.DUMMYFUNCTION("""COMPUTED_VALUE"""),"СП")</f>
        <v>СП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20" t="str">
        <f ca="1">IFERROR(__xludf.DUMMYFUNCTION("""COMPUTED_VALUE"""),"Гулынин Д. Д.")</f>
        <v>Гулынин Д. Д.</v>
      </c>
      <c r="C75" s="22">
        <f ca="1">IFERROR(__xludf.DUMMYFUNCTION("""COMPUTED_VALUE"""),3.44)</f>
        <v>3.44</v>
      </c>
      <c r="D75" s="20" t="str">
        <f ca="1">IFERROR(__xludf.DUMMYFUNCTION("""COMPUTED_VALUE"""),"СП")</f>
        <v>СП</v>
      </c>
      <c r="E75" s="20" t="str">
        <f ca="1">IFERROR(__xludf.DUMMYFUNCTION("""COMPUTED_VALUE"""),"оригинал ")</f>
        <v xml:space="preserve">оригинал 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20" t="str">
        <f ca="1">IFERROR(__xludf.DUMMYFUNCTION("""COMPUTED_VALUE"""),"Мазурчик 
 А.Д.")</f>
        <v>Мазурчик 
 А.Д.</v>
      </c>
      <c r="C76" s="22">
        <f ca="1">IFERROR(__xludf.DUMMYFUNCTION("""COMPUTED_VALUE"""),3.44)</f>
        <v>3.44</v>
      </c>
      <c r="D76" s="20" t="str">
        <f ca="1">IFERROR(__xludf.DUMMYFUNCTION("""COMPUTED_VALUE"""),"СП")</f>
        <v>СП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20" t="str">
        <f ca="1">IFERROR(__xludf.DUMMYFUNCTION("""COMPUTED_VALUE"""),"Владычек Д. Н.")</f>
        <v>Владычек Д. Н.</v>
      </c>
      <c r="C77" s="22">
        <f ca="1">IFERROR(__xludf.DUMMYFUNCTION("""COMPUTED_VALUE"""),3.44)</f>
        <v>3.44</v>
      </c>
      <c r="D77" s="20" t="str">
        <f ca="1">IFERROR(__xludf.DUMMYFUNCTION("""COMPUTED_VALUE"""),"СП")</f>
        <v>СП</v>
      </c>
      <c r="E77" s="20" t="str">
        <f ca="1">IFERROR(__xludf.DUMMYFUNCTION("""COMPUTED_VALUE"""),"оригинал ")</f>
        <v xml:space="preserve">оригинал 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72</v>
      </c>
      <c r="B78" s="20" t="str">
        <f ca="1">IFERROR(__xludf.DUMMYFUNCTION("""COMPUTED_VALUE"""),"Вахнина А.Д.")</f>
        <v>Вахнина А.Д.</v>
      </c>
      <c r="C78" s="22">
        <f ca="1">IFERROR(__xludf.DUMMYFUNCTION("""COMPUTED_VALUE"""),3.42)</f>
        <v>3.42</v>
      </c>
      <c r="D78" s="20" t="str">
        <f ca="1">IFERROR(__xludf.DUMMYFUNCTION("""COMPUTED_VALUE"""),"СП")</f>
        <v>СП</v>
      </c>
      <c r="E78" s="20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73</v>
      </c>
      <c r="B79" s="20" t="str">
        <f ca="1">IFERROR(__xludf.DUMMYFUNCTION("""COMPUTED_VALUE"""),"Попов Р. В.")</f>
        <v>Попов Р. В.</v>
      </c>
      <c r="C79" s="22">
        <f ca="1">IFERROR(__xludf.DUMMYFUNCTION("""COMPUTED_VALUE"""),3.42)</f>
        <v>3.42</v>
      </c>
      <c r="D79" s="20" t="str">
        <f ca="1">IFERROR(__xludf.DUMMYFUNCTION("""COMPUTED_VALUE"""),"СП")</f>
        <v>СП</v>
      </c>
      <c r="E79" s="20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74</v>
      </c>
      <c r="B80" s="20" t="str">
        <f ca="1">IFERROR(__xludf.DUMMYFUNCTION("""COMPUTED_VALUE"""),"Колипова А.И.")</f>
        <v>Колипова А.И.</v>
      </c>
      <c r="C80" s="22">
        <f ca="1">IFERROR(__xludf.DUMMYFUNCTION("""COMPUTED_VALUE"""),3.42)</f>
        <v>3.42</v>
      </c>
      <c r="D80" s="20" t="str">
        <f ca="1">IFERROR(__xludf.DUMMYFUNCTION("""COMPUTED_VALUE"""),"СП")</f>
        <v>СП</v>
      </c>
      <c r="E80" s="20" t="str">
        <f ca="1">IFERROR(__xludf.DUMMYFUNCTION("""COMPUTED_VALUE"""),"оригинал ")</f>
        <v xml:space="preserve">оригинал 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75</v>
      </c>
      <c r="B81" s="20" t="str">
        <f ca="1">IFERROR(__xludf.DUMMYFUNCTION("""COMPUTED_VALUE"""),"Смирнов А.И.")</f>
        <v>Смирнов А.И.</v>
      </c>
      <c r="C81" s="22">
        <f ca="1">IFERROR(__xludf.DUMMYFUNCTION("""COMPUTED_VALUE"""),3.42)</f>
        <v>3.42</v>
      </c>
      <c r="D81" s="20" t="str">
        <f ca="1">IFERROR(__xludf.DUMMYFUNCTION("""COMPUTED_VALUE"""),"СП")</f>
        <v>СП</v>
      </c>
      <c r="E81" s="20" t="str">
        <f ca="1">IFERROR(__xludf.DUMMYFUNCTION("""COMPUTED_VALUE"""),"оригинал ")</f>
        <v xml:space="preserve">оригинал 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76</v>
      </c>
      <c r="B82" s="20" t="str">
        <f ca="1">IFERROR(__xludf.DUMMYFUNCTION("""COMPUTED_VALUE"""),"Говорова Е. А.")</f>
        <v>Говорова Е. А.</v>
      </c>
      <c r="C82" s="22">
        <f ca="1">IFERROR(__xludf.DUMMYFUNCTION("""COMPUTED_VALUE"""),3.42)</f>
        <v>3.42</v>
      </c>
      <c r="D82" s="20" t="str">
        <f ca="1">IFERROR(__xludf.DUMMYFUNCTION("""COMPUTED_VALUE"""),"СП")</f>
        <v>СП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77</v>
      </c>
      <c r="B83" s="20" t="str">
        <f ca="1">IFERROR(__xludf.DUMMYFUNCTION("""COMPUTED_VALUE"""),"Чурсина Е. Е.")</f>
        <v>Чурсина Е. Е.</v>
      </c>
      <c r="C83" s="22">
        <f ca="1">IFERROR(__xludf.DUMMYFUNCTION("""COMPUTED_VALUE"""),3.4)</f>
        <v>3.4</v>
      </c>
      <c r="D83" s="20" t="str">
        <f ca="1">IFERROR(__xludf.DUMMYFUNCTION("""COMPUTED_VALUE"""),"СП")</f>
        <v>СП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78</v>
      </c>
      <c r="B84" s="20" t="str">
        <f ca="1">IFERROR(__xludf.DUMMYFUNCTION("""COMPUTED_VALUE"""),"Косова М. С.")</f>
        <v>Косова М. С.</v>
      </c>
      <c r="C84" s="22">
        <f ca="1">IFERROR(__xludf.DUMMYFUNCTION("""COMPUTED_VALUE"""),3.39)</f>
        <v>3.39</v>
      </c>
      <c r="D84" s="20" t="str">
        <f ca="1">IFERROR(__xludf.DUMMYFUNCTION("""COMPUTED_VALUE"""),"СП")</f>
        <v>СП</v>
      </c>
      <c r="E84" s="20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20" t="str">
        <f ca="1">IFERROR(__xludf.DUMMYFUNCTION("""COMPUTED_VALUE"""),"Парилов А.М.")</f>
        <v>Парилов А.М.</v>
      </c>
      <c r="C85" s="22">
        <f ca="1">IFERROR(__xludf.DUMMYFUNCTION("""COMPUTED_VALUE"""),3.38)</f>
        <v>3.38</v>
      </c>
      <c r="D85" s="20" t="str">
        <f ca="1">IFERROR(__xludf.DUMMYFUNCTION("""COMPUTED_VALUE"""),"СП")</f>
        <v>СП</v>
      </c>
      <c r="E85" s="20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20" t="str">
        <f ca="1">IFERROR(__xludf.DUMMYFUNCTION("""COMPUTED_VALUE"""),"Бурая Д.А.")</f>
        <v>Бурая Д.А.</v>
      </c>
      <c r="C86" s="22">
        <f ca="1">IFERROR(__xludf.DUMMYFUNCTION("""COMPUTED_VALUE"""),3.37)</f>
        <v>3.37</v>
      </c>
      <c r="D86" s="20" t="str">
        <f ca="1">IFERROR(__xludf.DUMMYFUNCTION("""COMPUTED_VALUE"""),"СП")</f>
        <v>СП</v>
      </c>
      <c r="E86" s="20" t="str">
        <f ca="1">IFERROR(__xludf.DUMMYFUNCTION("""COMPUTED_VALUE"""),"копия")</f>
        <v>копия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81</v>
      </c>
      <c r="B87" s="20" t="str">
        <f ca="1">IFERROR(__xludf.DUMMYFUNCTION("""COMPUTED_VALUE"""),"Кошман А. Р.")</f>
        <v>Кошман А. Р.</v>
      </c>
      <c r="C87" s="22">
        <f ca="1">IFERROR(__xludf.DUMMYFUNCTION("""COMPUTED_VALUE"""),3.37)</f>
        <v>3.37</v>
      </c>
      <c r="D87" s="20" t="str">
        <f ca="1">IFERROR(__xludf.DUMMYFUNCTION("""COMPUTED_VALUE"""),"СП")</f>
        <v>СП</v>
      </c>
      <c r="E87" s="20" t="str">
        <f ca="1">IFERROR(__xludf.DUMMYFUNCTION("""COMPUTED_VALUE"""),"оригинал ")</f>
        <v xml:space="preserve">оригинал 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82</v>
      </c>
      <c r="B88" s="20" t="str">
        <f ca="1">IFERROR(__xludf.DUMMYFUNCTION("""COMPUTED_VALUE"""),"Сердитов
 Д. В.")</f>
        <v>Сердитов
 Д. В.</v>
      </c>
      <c r="C88" s="22">
        <f ca="1">IFERROR(__xludf.DUMMYFUNCTION("""COMPUTED_VALUE"""),3.35)</f>
        <v>3.35</v>
      </c>
      <c r="D88" s="20" t="str">
        <f ca="1">IFERROR(__xludf.DUMMYFUNCTION("""COMPUTED_VALUE"""),"СП")</f>
        <v>СП</v>
      </c>
      <c r="E88" s="20" t="str">
        <f ca="1">IFERROR(__xludf.DUMMYFUNCTION("""COMPUTED_VALUE"""),"копия")</f>
        <v>копия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83</v>
      </c>
      <c r="B89" s="20" t="str">
        <f ca="1">IFERROR(__xludf.DUMMYFUNCTION("""COMPUTED_VALUE"""),"Наймушина Э.С.")</f>
        <v>Наймушина Э.С.</v>
      </c>
      <c r="C89" s="22">
        <f ca="1">IFERROR(__xludf.DUMMYFUNCTION("""COMPUTED_VALUE"""),3.34)</f>
        <v>3.34</v>
      </c>
      <c r="D89" s="20" t="str">
        <f ca="1">IFERROR(__xludf.DUMMYFUNCTION("""COMPUTED_VALUE"""),"СП")</f>
        <v>СП</v>
      </c>
      <c r="E89" s="20" t="str">
        <f ca="1">IFERROR(__xludf.DUMMYFUNCTION("""COMPUTED_VALUE"""),"копия")</f>
        <v>копия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84</v>
      </c>
      <c r="B90" s="20" t="str">
        <f ca="1">IFERROR(__xludf.DUMMYFUNCTION("""COMPUTED_VALUE"""),"Наймушина Э. С.")</f>
        <v>Наймушина Э. С.</v>
      </c>
      <c r="C90" s="22">
        <f ca="1">IFERROR(__xludf.DUMMYFUNCTION("""COMPUTED_VALUE"""),3.34)</f>
        <v>3.34</v>
      </c>
      <c r="D90" s="20" t="str">
        <f ca="1">IFERROR(__xludf.DUMMYFUNCTION("""COMPUTED_VALUE"""),"СП")</f>
        <v>СП</v>
      </c>
      <c r="E90" s="20" t="str">
        <f ca="1">IFERROR(__xludf.DUMMYFUNCTION("""COMPUTED_VALUE"""),"копия")</f>
        <v>копия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85</v>
      </c>
      <c r="B91" s="20" t="str">
        <f ca="1">IFERROR(__xludf.DUMMYFUNCTION("""COMPUTED_VALUE"""),"Панюков Г. А.")</f>
        <v>Панюков Г. А.</v>
      </c>
      <c r="C91" s="22">
        <f ca="1">IFERROR(__xludf.DUMMYFUNCTION("""COMPUTED_VALUE"""),3.32)</f>
        <v>3.32</v>
      </c>
      <c r="D91" s="20" t="str">
        <f ca="1">IFERROR(__xludf.DUMMYFUNCTION("""COMPUTED_VALUE"""),"СП")</f>
        <v>СП</v>
      </c>
      <c r="E91" s="20" t="str">
        <f ca="1">IFERROR(__xludf.DUMMYFUNCTION("""COMPUTED_VALUE"""),"копия")</f>
        <v>копия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86</v>
      </c>
      <c r="B92" s="20" t="str">
        <f ca="1">IFERROR(__xludf.DUMMYFUNCTION("""COMPUTED_VALUE"""),"Демиденко Н. А.")</f>
        <v>Демиденко Н. А.</v>
      </c>
      <c r="C92" s="22">
        <f ca="1">IFERROR(__xludf.DUMMYFUNCTION("""COMPUTED_VALUE"""),3.32)</f>
        <v>3.32</v>
      </c>
      <c r="D92" s="20" t="str">
        <f ca="1">IFERROR(__xludf.DUMMYFUNCTION("""COMPUTED_VALUE"""),"СП")</f>
        <v>СП</v>
      </c>
      <c r="E92" s="20" t="str">
        <f ca="1">IFERROR(__xludf.DUMMYFUNCTION("""COMPUTED_VALUE"""),"копия")</f>
        <v>копия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87</v>
      </c>
      <c r="B93" s="20" t="str">
        <f ca="1">IFERROR(__xludf.DUMMYFUNCTION("""COMPUTED_VALUE"""),"Костина В. С.")</f>
        <v>Костина В. С.</v>
      </c>
      <c r="C93" s="20">
        <f ca="1">IFERROR(__xludf.DUMMYFUNCTION("""COMPUTED_VALUE"""),3.3)</f>
        <v>3.3</v>
      </c>
      <c r="D93" s="20" t="str">
        <f ca="1">IFERROR(__xludf.DUMMYFUNCTION("""COMPUTED_VALUE"""),"СП")</f>
        <v>СП</v>
      </c>
      <c r="E93" s="20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88</v>
      </c>
      <c r="B94" s="20" t="str">
        <f ca="1">IFERROR(__xludf.DUMMYFUNCTION("""COMPUTED_VALUE"""),"Шаркова Э. Е.")</f>
        <v>Шаркова Э. Е.</v>
      </c>
      <c r="C94" s="22">
        <f ca="1">IFERROR(__xludf.DUMMYFUNCTION("""COMPUTED_VALUE"""),3.3)</f>
        <v>3.3</v>
      </c>
      <c r="D94" s="20" t="str">
        <f ca="1">IFERROR(__xludf.DUMMYFUNCTION("""COMPUTED_VALUE"""),"СП")</f>
        <v>СП</v>
      </c>
      <c r="E94" s="20" t="str">
        <f ca="1">IFERROR(__xludf.DUMMYFUNCTION("""COMPUTED_VALUE"""),"оригинал ")</f>
        <v xml:space="preserve">оригинал 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89</v>
      </c>
      <c r="B95" s="20" t="str">
        <f ca="1">IFERROR(__xludf.DUMMYFUNCTION("""COMPUTED_VALUE"""),"Фролова Д. Е.")</f>
        <v>Фролова Д. Е.</v>
      </c>
      <c r="C95" s="22">
        <f ca="1">IFERROR(__xludf.DUMMYFUNCTION("""COMPUTED_VALUE"""),3.27)</f>
        <v>3.27</v>
      </c>
      <c r="D95" s="20" t="str">
        <f ca="1">IFERROR(__xludf.DUMMYFUNCTION("""COMPUTED_VALUE"""),"СП")</f>
        <v>СП</v>
      </c>
      <c r="E95" s="20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90</v>
      </c>
      <c r="B96" s="20" t="str">
        <f ca="1">IFERROR(__xludf.DUMMYFUNCTION("""COMPUTED_VALUE"""),"Торлопов А.В.")</f>
        <v>Торлопов А.В.</v>
      </c>
      <c r="C96" s="22">
        <f ca="1">IFERROR(__xludf.DUMMYFUNCTION("""COMPUTED_VALUE"""),3.26)</f>
        <v>3.26</v>
      </c>
      <c r="D96" s="20" t="str">
        <f ca="1">IFERROR(__xludf.DUMMYFUNCTION("""COMPUTED_VALUE"""),"СП")</f>
        <v>СП</v>
      </c>
      <c r="E96" s="20" t="str">
        <f ca="1">IFERROR(__xludf.DUMMYFUNCTION("""COMPUTED_VALUE"""),"копия")</f>
        <v>копия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30">
        <v>91</v>
      </c>
      <c r="B97" s="20" t="str">
        <f ca="1">IFERROR(__xludf.DUMMYFUNCTION("""COMPUTED_VALUE"""),"Ковалева А. А.")</f>
        <v>Ковалева А. А.</v>
      </c>
      <c r="C97" s="20">
        <f ca="1">IFERROR(__xludf.DUMMYFUNCTION("""COMPUTED_VALUE"""),3.25)</f>
        <v>3.25</v>
      </c>
      <c r="D97" s="20" t="str">
        <f ca="1">IFERROR(__xludf.DUMMYFUNCTION("""COMPUTED_VALUE"""),"СП")</f>
        <v>СП</v>
      </c>
      <c r="E97" s="20" t="str">
        <f ca="1">IFERROR(__xludf.DUMMYFUNCTION("""COMPUTED_VALUE"""),"оригинал")</f>
        <v>оригинал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30">
        <v>92</v>
      </c>
      <c r="B98" s="20" t="str">
        <f ca="1">IFERROR(__xludf.DUMMYFUNCTION("""COMPUTED_VALUE"""),"Литвиненко И. Д.")</f>
        <v>Литвиненко И. Д.</v>
      </c>
      <c r="C98" s="22">
        <f ca="1">IFERROR(__xludf.DUMMYFUNCTION("""COMPUTED_VALUE"""),3.23)</f>
        <v>3.23</v>
      </c>
      <c r="D98" s="20" t="str">
        <f ca="1">IFERROR(__xludf.DUMMYFUNCTION("""COMPUTED_VALUE"""),"СП")</f>
        <v>СП</v>
      </c>
      <c r="E98" s="20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30">
        <v>93</v>
      </c>
      <c r="B99" s="20" t="str">
        <f ca="1">IFERROR(__xludf.DUMMYFUNCTION("""COMPUTED_VALUE"""),"Леденцов 
 С. А.")</f>
        <v>Леденцов 
 С. А.</v>
      </c>
      <c r="C99" s="22">
        <f ca="1">IFERROR(__xludf.DUMMYFUNCTION("""COMPUTED_VALUE"""),3.21)</f>
        <v>3.21</v>
      </c>
      <c r="D99" s="20" t="str">
        <f ca="1">IFERROR(__xludf.DUMMYFUNCTION("""COMPUTED_VALUE"""),"СП")</f>
        <v>СП</v>
      </c>
      <c r="E99" s="20" t="str">
        <f ca="1">IFERROR(__xludf.DUMMYFUNCTION("""COMPUTED_VALUE"""),"копия")</f>
        <v>копия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30">
        <v>94</v>
      </c>
      <c r="B100" s="20" t="str">
        <f ca="1">IFERROR(__xludf.DUMMYFUNCTION("""COMPUTED_VALUE"""),"Понаморева Д.Д.")</f>
        <v>Понаморева Д.Д.</v>
      </c>
      <c r="C100" s="22">
        <f ca="1">IFERROR(__xludf.DUMMYFUNCTION("""COMPUTED_VALUE"""),3.21)</f>
        <v>3.21</v>
      </c>
      <c r="D100" s="20" t="str">
        <f ca="1">IFERROR(__xludf.DUMMYFUNCTION("""COMPUTED_VALUE"""),"СП")</f>
        <v>СП</v>
      </c>
      <c r="E100" s="20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30">
        <v>95</v>
      </c>
      <c r="B101" s="20" t="str">
        <f ca="1">IFERROR(__xludf.DUMMYFUNCTION("""COMPUTED_VALUE"""),"Павлюшина Е. М.")</f>
        <v>Павлюшина Е. М.</v>
      </c>
      <c r="C101" s="22">
        <f ca="1">IFERROR(__xludf.DUMMYFUNCTION("""COMPUTED_VALUE"""),3.19)</f>
        <v>3.19</v>
      </c>
      <c r="D101" s="20" t="str">
        <f ca="1">IFERROR(__xludf.DUMMYFUNCTION("""COMPUTED_VALUE"""),"СП")</f>
        <v>СП</v>
      </c>
      <c r="E101" s="20" t="str">
        <f ca="1">IFERROR(__xludf.DUMMYFUNCTION("""COMPUTED_VALUE"""),"оригинал")</f>
        <v>оригинал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30">
        <v>96</v>
      </c>
      <c r="B102" s="20" t="str">
        <f ca="1">IFERROR(__xludf.DUMMYFUNCTION("""COMPUTED_VALUE"""),"Шудрич Д.Г.")</f>
        <v>Шудрич Д.Г.</v>
      </c>
      <c r="C102" s="22">
        <f ca="1">IFERROR(__xludf.DUMMYFUNCTION("""COMPUTED_VALUE"""),3.15)</f>
        <v>3.15</v>
      </c>
      <c r="D102" s="20" t="str">
        <f ca="1">IFERROR(__xludf.DUMMYFUNCTION("""COMPUTED_VALUE"""),"СП")</f>
        <v>СП</v>
      </c>
      <c r="E102" s="20" t="str">
        <f ca="1">IFERROR(__xludf.DUMMYFUNCTION("""COMPUTED_VALUE"""),"копия")</f>
        <v>копия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30">
        <v>97</v>
      </c>
      <c r="B103" s="20" t="str">
        <f ca="1">IFERROR(__xludf.DUMMYFUNCTION("""COMPUTED_VALUE"""),"Карпенко Н.Д.")</f>
        <v>Карпенко Н.Д.</v>
      </c>
      <c r="C103" s="22">
        <f ca="1">IFERROR(__xludf.DUMMYFUNCTION("""COMPUTED_VALUE"""),3)</f>
        <v>3</v>
      </c>
      <c r="D103" s="20" t="str">
        <f ca="1">IFERROR(__xludf.DUMMYFUNCTION("""COMPUTED_VALUE"""),"СП")</f>
        <v>СП</v>
      </c>
      <c r="E103" s="20" t="str">
        <f ca="1">IFERROR(__xludf.DUMMYFUNCTION("""COMPUTED_VALUE"""),"копия")</f>
        <v>копия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30">
        <v>98</v>
      </c>
      <c r="B104" s="20" t="str">
        <f ca="1">IFERROR(__xludf.DUMMYFUNCTION("""COMPUTED_VALUE"""),"Гераскин К. Д.")</f>
        <v>Гераскин К. Д.</v>
      </c>
      <c r="C104" s="22">
        <f ca="1">IFERROR(__xludf.DUMMYFUNCTION("""COMPUTED_VALUE"""),3)</f>
        <v>3</v>
      </c>
      <c r="D104" s="20" t="str">
        <f ca="1">IFERROR(__xludf.DUMMYFUNCTION("""COMPUTED_VALUE"""),"СП")</f>
        <v>СП</v>
      </c>
      <c r="E104" s="20" t="str">
        <f ca="1">IFERROR(__xludf.DUMMYFUNCTION("""COMPUTED_VALUE"""),"копия")</f>
        <v>копия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30">
        <v>99</v>
      </c>
      <c r="B105" s="20" t="str">
        <f ca="1">IFERROR(__xludf.DUMMYFUNCTION("""COMPUTED_VALUE"""),"Аникьева Л. А.")</f>
        <v>Аникьева Л. А.</v>
      </c>
      <c r="C105" s="22"/>
      <c r="D105" s="20" t="str">
        <f ca="1">IFERROR(__xludf.DUMMYFUNCTION("""COMPUTED_VALUE"""),"СП")</f>
        <v>СП</v>
      </c>
      <c r="E105" s="20" t="str">
        <f ca="1">IFERROR(__xludf.DUMMYFUNCTION("""COMPUTED_VALUE"""),"копия")</f>
        <v>копия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6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6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6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6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6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6">
    <mergeCell ref="A5:E5"/>
    <mergeCell ref="A1:C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>
      <selection sqref="A1:E1"/>
    </sheetView>
  </sheetViews>
  <sheetFormatPr defaultColWidth="14.42578125" defaultRowHeight="15" customHeight="1"/>
  <cols>
    <col min="1" max="1" width="8.5703125" customWidth="1"/>
    <col min="2" max="2" width="28.140625" customWidth="1"/>
    <col min="3" max="3" width="19.140625" customWidth="1"/>
    <col min="4" max="4" width="12.42578125" hidden="1" customWidth="1"/>
    <col min="5" max="5" width="14.8554687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4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762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763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764</v>
      </c>
      <c r="B6" s="18" t="s">
        <v>765</v>
      </c>
      <c r="C6" s="16" t="s">
        <v>766</v>
      </c>
      <c r="D6" s="5"/>
      <c r="E6" s="16" t="s">
        <v>767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IFERROR(__xludf.DUMMYFUNCTION("FILTER(Inbox_Data!F2:I1003,Inbox_Data!H2:H1003=""ЭКС"")"),"Камаров А.")</f>
        <v>Камаров А.</v>
      </c>
      <c r="C7" s="23">
        <f ca="1">IFERROR(__xludf.DUMMYFUNCTION("""COMPUTED_VALUE"""),4.55)</f>
        <v>4.55</v>
      </c>
      <c r="D7" s="20" t="str">
        <f ca="1">IFERROR(__xludf.DUMMYFUNCTION("""COMPUTED_VALUE"""),"ЭКС")</f>
        <v>ЭКС</v>
      </c>
      <c r="E7" s="20" t="str">
        <f ca="1">IFERROR(__xludf.DUMMYFUNCTION("""COMPUTED_VALUE"""),"оригинал")</f>
        <v>оригинал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IFERROR(__xludf.DUMMYFUNCTION("""COMPUTED_VALUE"""),"Чебан А.")</f>
        <v>Чебан А.</v>
      </c>
      <c r="C8" s="23">
        <f ca="1">IFERROR(__xludf.DUMMYFUNCTION("""COMPUTED_VALUE"""),4.37)</f>
        <v>4.37</v>
      </c>
      <c r="D8" s="5" t="str">
        <f ca="1">IFERROR(__xludf.DUMMYFUNCTION("""COMPUTED_VALUE"""),"ЭКС")</f>
        <v>ЭКС</v>
      </c>
      <c r="E8" s="20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IFERROR(__xludf.DUMMYFUNCTION("""COMPUTED_VALUE"""),"Терентьев Н.")</f>
        <v>Терентьев Н.</v>
      </c>
      <c r="C9" s="23">
        <f ca="1">IFERROR(__xludf.DUMMYFUNCTION("""COMPUTED_VALUE"""),4.36)</f>
        <v>4.3600000000000003</v>
      </c>
      <c r="D9" s="5" t="str">
        <f ca="1">IFERROR(__xludf.DUMMYFUNCTION("""COMPUTED_VALUE"""),"ЭКС")</f>
        <v>ЭКС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IFERROR(__xludf.DUMMYFUNCTION("""COMPUTED_VALUE"""),"Дуркин И.")</f>
        <v>Дуркин И.</v>
      </c>
      <c r="C10" s="20">
        <f ca="1">IFERROR(__xludf.DUMMYFUNCTION("""COMPUTED_VALUE"""),4.2)</f>
        <v>4.2</v>
      </c>
      <c r="D10" s="5" t="str">
        <f ca="1">IFERROR(__xludf.DUMMYFUNCTION("""COMPUTED_VALUE"""),"ЭКС")</f>
        <v>ЭКС</v>
      </c>
      <c r="E10" s="20" t="str">
        <f ca="1">IFERROR(__xludf.DUMMYFUNCTION("""COMPUTED_VALUE"""),"оригинал ")</f>
        <v xml:space="preserve">оригинал 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IFERROR(__xludf.DUMMYFUNCTION("""COMPUTED_VALUE"""),"Латкин В.")</f>
        <v>Латкин В.</v>
      </c>
      <c r="C11" s="23">
        <f ca="1">IFERROR(__xludf.DUMMYFUNCTION("""COMPUTED_VALUE"""),4.2)</f>
        <v>4.2</v>
      </c>
      <c r="D11" s="5" t="str">
        <f ca="1">IFERROR(__xludf.DUMMYFUNCTION("""COMPUTED_VALUE"""),"ЭКС")</f>
        <v>ЭКС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IFERROR(__xludf.DUMMYFUNCTION("""COMPUTED_VALUE"""),"Опак А.")</f>
        <v>Опак А.</v>
      </c>
      <c r="C12" s="20">
        <f ca="1">IFERROR(__xludf.DUMMYFUNCTION("""COMPUTED_VALUE"""),4.2)</f>
        <v>4.2</v>
      </c>
      <c r="D12" s="5" t="str">
        <f ca="1">IFERROR(__xludf.DUMMYFUNCTION("""COMPUTED_VALUE"""),"ЭКС")</f>
        <v>ЭКС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 t="str">
        <f ca="1">IFERROR(__xludf.DUMMYFUNCTION("""COMPUTED_VALUE"""),"Чеботарь К.")</f>
        <v>Чеботарь К.</v>
      </c>
      <c r="C13" s="23">
        <f ca="1">IFERROR(__xludf.DUMMYFUNCTION("""COMPUTED_VALUE"""),4.07)</f>
        <v>4.07</v>
      </c>
      <c r="D13" s="5" t="str">
        <f ca="1">IFERROR(__xludf.DUMMYFUNCTION("""COMPUTED_VALUE"""),"ЭКС")</f>
        <v>ЭКС</v>
      </c>
      <c r="E13" s="20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 t="str">
        <f ca="1">IFERROR(__xludf.DUMMYFUNCTION("""COMPUTED_VALUE"""),"Варчак В. С.")</f>
        <v>Варчак В. С.</v>
      </c>
      <c r="C14" s="22">
        <f ca="1">IFERROR(__xludf.DUMMYFUNCTION("""COMPUTED_VALUE"""),4.06)</f>
        <v>4.0599999999999996</v>
      </c>
      <c r="D14" s="5" t="str">
        <f ca="1">IFERROR(__xludf.DUMMYFUNCTION("""COMPUTED_VALUE"""),"ЭКС")</f>
        <v>ЭКС</v>
      </c>
      <c r="E14" s="20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 t="str">
        <f ca="1">IFERROR(__xludf.DUMMYFUNCTION("""COMPUTED_VALUE"""),"Минин К.")</f>
        <v>Минин К.</v>
      </c>
      <c r="C15" s="20">
        <f ca="1">IFERROR(__xludf.DUMMYFUNCTION("""COMPUTED_VALUE"""),4.05)</f>
        <v>4.05</v>
      </c>
      <c r="D15" s="6" t="str">
        <f ca="1">IFERROR(__xludf.DUMMYFUNCTION("""COMPUTED_VALUE"""),"ЭКС")</f>
        <v>ЭКС</v>
      </c>
      <c r="E15" s="20" t="str">
        <f ca="1">IFERROR(__xludf.DUMMYFUNCTION("""COMPUTED_VALUE"""),"копия")</f>
        <v>копия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 t="str">
        <f ca="1">IFERROR(__xludf.DUMMYFUNCTION("""COMPUTED_VALUE"""),"Яблонский Н.")</f>
        <v>Яблонский Н.</v>
      </c>
      <c r="C16" s="23">
        <f ca="1">IFERROR(__xludf.DUMMYFUNCTION("""COMPUTED_VALUE"""),4.05)</f>
        <v>4.05</v>
      </c>
      <c r="D16" s="6" t="str">
        <f ca="1">IFERROR(__xludf.DUMMYFUNCTION("""COMPUTED_VALUE"""),"ЭКС")</f>
        <v>ЭКС</v>
      </c>
      <c r="E16" s="20" t="str">
        <f ca="1">IFERROR(__xludf.DUMMYFUNCTION("""COMPUTED_VALUE"""),"оригинал")</f>
        <v>оригинал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 t="str">
        <f ca="1">IFERROR(__xludf.DUMMYFUNCTION("""COMPUTED_VALUE"""),"Шостака Д.")</f>
        <v>Шостака Д.</v>
      </c>
      <c r="C17" s="23">
        <f ca="1">IFERROR(__xludf.DUMMYFUNCTION("""COMPUTED_VALUE"""),4.05)</f>
        <v>4.05</v>
      </c>
      <c r="D17" s="6" t="str">
        <f ca="1">IFERROR(__xludf.DUMMYFUNCTION("""COMPUTED_VALUE"""),"ЭКС")</f>
        <v>ЭКС</v>
      </c>
      <c r="E17" s="20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0" t="str">
        <f ca="1">IFERROR(__xludf.DUMMYFUNCTION("""COMPUTED_VALUE"""),"Старцев Я.")</f>
        <v>Старцев Я.</v>
      </c>
      <c r="C18" s="23">
        <f ca="1">IFERROR(__xludf.DUMMYFUNCTION("""COMPUTED_VALUE"""),4)</f>
        <v>4</v>
      </c>
      <c r="D18" s="6" t="str">
        <f ca="1">IFERROR(__xludf.DUMMYFUNCTION("""COMPUTED_VALUE"""),"ЭКС")</f>
        <v>ЭКС</v>
      </c>
      <c r="E18" s="20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0" t="str">
        <f ca="1">IFERROR(__xludf.DUMMYFUNCTION("""COMPUTED_VALUE"""),"Кичигин Р.")</f>
        <v>Кичигин Р.</v>
      </c>
      <c r="C19" s="23">
        <f ca="1">IFERROR(__xludf.DUMMYFUNCTION("""COMPUTED_VALUE"""),3.89)</f>
        <v>3.89</v>
      </c>
      <c r="D19" s="6" t="str">
        <f ca="1">IFERROR(__xludf.DUMMYFUNCTION("""COMPUTED_VALUE"""),"ЭКС")</f>
        <v>ЭКС</v>
      </c>
      <c r="E19" s="20" t="str">
        <f ca="1">IFERROR(__xludf.DUMMYFUNCTION("""COMPUTED_VALUE"""),"копия")</f>
        <v>копия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0" t="str">
        <f ca="1">IFERROR(__xludf.DUMMYFUNCTION("""COMPUTED_VALUE"""),"Клеопатров А.М.")</f>
        <v>Клеопатров А.М.</v>
      </c>
      <c r="C20" s="22">
        <f ca="1">IFERROR(__xludf.DUMMYFUNCTION("""COMPUTED_VALUE"""),3.86)</f>
        <v>3.86</v>
      </c>
      <c r="D20" s="6" t="str">
        <f ca="1">IFERROR(__xludf.DUMMYFUNCTION("""COMPUTED_VALUE"""),"ЭКС")</f>
        <v>ЭКС</v>
      </c>
      <c r="E20" s="20" t="str">
        <f ca="1">IFERROR(__xludf.DUMMYFUNCTION("""COMPUTED_VALUE"""),"оригинал")</f>
        <v>оригинал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0" t="str">
        <f ca="1">IFERROR(__xludf.DUMMYFUNCTION("""COMPUTED_VALUE"""),"Карманов Е.")</f>
        <v>Карманов Е.</v>
      </c>
      <c r="C21" s="23">
        <f ca="1">IFERROR(__xludf.DUMMYFUNCTION("""COMPUTED_VALUE"""),3.85)</f>
        <v>3.85</v>
      </c>
      <c r="D21" s="6" t="str">
        <f ca="1">IFERROR(__xludf.DUMMYFUNCTION("""COMPUTED_VALUE"""),"ЭКС")</f>
        <v>ЭКС</v>
      </c>
      <c r="E21" s="20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0" t="str">
        <f ca="1">IFERROR(__xludf.DUMMYFUNCTION("""COMPUTED_VALUE"""),"Нестеров Н.")</f>
        <v>Нестеров Н.</v>
      </c>
      <c r="C22" s="23">
        <f ca="1">IFERROR(__xludf.DUMMYFUNCTION("""COMPUTED_VALUE"""),3.84)</f>
        <v>3.84</v>
      </c>
      <c r="D22" s="6" t="str">
        <f ca="1">IFERROR(__xludf.DUMMYFUNCTION("""COMPUTED_VALUE"""),"ЭКС")</f>
        <v>ЭКС</v>
      </c>
      <c r="E22" s="20" t="str">
        <f ca="1">IFERROR(__xludf.DUMMYFUNCTION("""COMPUTED_VALUE"""),"оригинал")</f>
        <v>оригинал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0" t="str">
        <f ca="1">IFERROR(__xludf.DUMMYFUNCTION("""COMPUTED_VALUE"""),"Рочев З.")</f>
        <v>Рочев З.</v>
      </c>
      <c r="C23" s="23">
        <f ca="1">IFERROR(__xludf.DUMMYFUNCTION("""COMPUTED_VALUE"""),3.84)</f>
        <v>3.84</v>
      </c>
      <c r="D23" s="6" t="str">
        <f ca="1">IFERROR(__xludf.DUMMYFUNCTION("""COMPUTED_VALUE"""),"ЭКС")</f>
        <v>ЭКС</v>
      </c>
      <c r="E23" s="20" t="str">
        <f ca="1">IFERROR(__xludf.DUMMYFUNCTION("""COMPUTED_VALUE"""),"оригинал ")</f>
        <v xml:space="preserve">оригинал 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0" t="str">
        <f ca="1">IFERROR(__xludf.DUMMYFUNCTION("""COMPUTED_VALUE"""),"Бурнашов М.")</f>
        <v>Бурнашов М.</v>
      </c>
      <c r="C24" s="23">
        <f ca="1">IFERROR(__xludf.DUMMYFUNCTION("""COMPUTED_VALUE"""),3.8)</f>
        <v>3.8</v>
      </c>
      <c r="D24" s="6" t="str">
        <f ca="1">IFERROR(__xludf.DUMMYFUNCTION("""COMPUTED_VALUE"""),"ЭКС")</f>
        <v>ЭКС</v>
      </c>
      <c r="E24" s="20" t="str">
        <f ca="1">IFERROR(__xludf.DUMMYFUNCTION("""COMPUTED_VALUE"""),"оригинал ")</f>
        <v xml:space="preserve">оригинал 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19" t="str">
        <f ca="1">IFERROR(__xludf.DUMMYFUNCTION("""COMPUTED_VALUE"""),"Тоноян Г.")</f>
        <v>Тоноян Г.</v>
      </c>
      <c r="C25" s="33">
        <f ca="1">IFERROR(__xludf.DUMMYFUNCTION("""COMPUTED_VALUE"""),3.79)</f>
        <v>3.79</v>
      </c>
      <c r="D25" s="6" t="str">
        <f ca="1">IFERROR(__xludf.DUMMYFUNCTION("""COMPUTED_VALUE"""),"ЭКС")</f>
        <v>ЭКС</v>
      </c>
      <c r="E25" s="20" t="str">
        <f ca="1">IFERROR(__xludf.DUMMYFUNCTION("""COMPUTED_VALUE"""),"копия")</f>
        <v>копия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19" t="str">
        <f ca="1">IFERROR(__xludf.DUMMYFUNCTION("""COMPUTED_VALUE"""),"Хворов М.")</f>
        <v>Хворов М.</v>
      </c>
      <c r="C26" s="33">
        <f ca="1">IFERROR(__xludf.DUMMYFUNCTION("""COMPUTED_VALUE"""),3.78)</f>
        <v>3.78</v>
      </c>
      <c r="D26" s="6" t="str">
        <f ca="1">IFERROR(__xludf.DUMMYFUNCTION("""COMPUTED_VALUE"""),"ЭКС")</f>
        <v>ЭКС</v>
      </c>
      <c r="E26" s="20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19" t="str">
        <f ca="1">IFERROR(__xludf.DUMMYFUNCTION("""COMPUTED_VALUE"""),"Хворов М.")</f>
        <v>Хворов М.</v>
      </c>
      <c r="C27" s="33">
        <f ca="1">IFERROR(__xludf.DUMMYFUNCTION("""COMPUTED_VALUE"""),3.77)</f>
        <v>3.77</v>
      </c>
      <c r="D27" s="6" t="str">
        <f ca="1">IFERROR(__xludf.DUMMYFUNCTION("""COMPUTED_VALUE"""),"ЭКС")</f>
        <v>ЭКС</v>
      </c>
      <c r="E27" s="20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19" t="str">
        <f ca="1">IFERROR(__xludf.DUMMYFUNCTION("""COMPUTED_VALUE"""),"Чернявский Н.")</f>
        <v>Чернявский Н.</v>
      </c>
      <c r="C28" s="33">
        <f ca="1">IFERROR(__xludf.DUMMYFUNCTION("""COMPUTED_VALUE"""),3.76)</f>
        <v>3.76</v>
      </c>
      <c r="D28" s="6" t="str">
        <f ca="1">IFERROR(__xludf.DUMMYFUNCTION("""COMPUTED_VALUE"""),"ЭКС")</f>
        <v>ЭКС</v>
      </c>
      <c r="E28" s="20" t="str">
        <f ca="1">IFERROR(__xludf.DUMMYFUNCTION("""COMPUTED_VALUE"""),"копия")</f>
        <v>копия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19" t="str">
        <f ca="1">IFERROR(__xludf.DUMMYFUNCTION("""COMPUTED_VALUE"""),"Белобородов И.")</f>
        <v>Белобородов И.</v>
      </c>
      <c r="C29" s="33">
        <f ca="1">IFERROR(__xludf.DUMMYFUNCTION("""COMPUTED_VALUE"""),3.73)</f>
        <v>3.73</v>
      </c>
      <c r="D29" s="6" t="str">
        <f ca="1">IFERROR(__xludf.DUMMYFUNCTION("""COMPUTED_VALUE"""),"ЭКС")</f>
        <v>ЭКС</v>
      </c>
      <c r="E29" s="20" t="str">
        <f ca="1">IFERROR(__xludf.DUMMYFUNCTION("""COMPUTED_VALUE"""),"копия")</f>
        <v>копия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9">
        <v>24</v>
      </c>
      <c r="B30" s="19" t="str">
        <f ca="1">IFERROR(__xludf.DUMMYFUNCTION("""COMPUTED_VALUE"""),"Кузиванов Г.")</f>
        <v>Кузиванов Г.</v>
      </c>
      <c r="C30" s="19">
        <f ca="1">IFERROR(__xludf.DUMMYFUNCTION("""COMPUTED_VALUE"""),3.72)</f>
        <v>3.72</v>
      </c>
      <c r="D30" s="6" t="str">
        <f ca="1">IFERROR(__xludf.DUMMYFUNCTION("""COMPUTED_VALUE"""),"ЭКС")</f>
        <v>ЭКС</v>
      </c>
      <c r="E30" s="20" t="str">
        <f ca="1">IFERROR(__xludf.DUMMYFUNCTION("""COMPUTED_VALUE"""),"копия")</f>
        <v>копия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9">
        <v>25</v>
      </c>
      <c r="B31" s="19" t="str">
        <f ca="1">IFERROR(__xludf.DUMMYFUNCTION("""COMPUTED_VALUE"""),"Хакимов А.")</f>
        <v>Хакимов А.</v>
      </c>
      <c r="C31" s="33">
        <f ca="1">IFERROR(__xludf.DUMMYFUNCTION("""COMPUTED_VALUE"""),3.72)</f>
        <v>3.72</v>
      </c>
      <c r="D31" s="6" t="str">
        <f ca="1">IFERROR(__xludf.DUMMYFUNCTION("""COMPUTED_VALUE"""),"ЭКС")</f>
        <v>ЭКС</v>
      </c>
      <c r="E31" s="20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9">
        <v>26</v>
      </c>
      <c r="B32" s="19" t="str">
        <f ca="1">IFERROR(__xludf.DUMMYFUNCTION("""COMPUTED_VALUE"""),"Суворов Т.")</f>
        <v>Суворов Т.</v>
      </c>
      <c r="C32" s="33">
        <f ca="1">IFERROR(__xludf.DUMMYFUNCTION("""COMPUTED_VALUE"""),3.66)</f>
        <v>3.66</v>
      </c>
      <c r="D32" s="6" t="str">
        <f ca="1">IFERROR(__xludf.DUMMYFUNCTION("""COMPUTED_VALUE"""),"ЭКС")</f>
        <v>ЭКС</v>
      </c>
      <c r="E32" s="20" t="str">
        <f ca="1">IFERROR(__xludf.DUMMYFUNCTION("""COMPUTED_VALUE"""),"оригинал")</f>
        <v>оригинал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19">
        <v>27</v>
      </c>
      <c r="B33" s="19" t="str">
        <f ca="1">IFERROR(__xludf.DUMMYFUNCTION("""COMPUTED_VALUE"""),"Трофимов И.")</f>
        <v>Трофимов И.</v>
      </c>
      <c r="C33" s="33">
        <f ca="1">IFERROR(__xludf.DUMMYFUNCTION("""COMPUTED_VALUE"""),3.66)</f>
        <v>3.66</v>
      </c>
      <c r="D33" s="6" t="str">
        <f ca="1">IFERROR(__xludf.DUMMYFUNCTION("""COMPUTED_VALUE"""),"ЭКС")</f>
        <v>ЭКС</v>
      </c>
      <c r="E33" s="20" t="str">
        <f ca="1">IFERROR(__xludf.DUMMYFUNCTION("""COMPUTED_VALUE"""),"оригинал")</f>
        <v>оригинал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>
      <c r="A34" s="19">
        <v>28</v>
      </c>
      <c r="B34" s="19" t="str">
        <f ca="1">IFERROR(__xludf.DUMMYFUNCTION("""COMPUTED_VALUE"""),"Микрюков С.")</f>
        <v>Микрюков С.</v>
      </c>
      <c r="C34" s="33">
        <f ca="1">IFERROR(__xludf.DUMMYFUNCTION("""COMPUTED_VALUE"""),3.65)</f>
        <v>3.65</v>
      </c>
      <c r="D34" s="14" t="str">
        <f ca="1">IFERROR(__xludf.DUMMYFUNCTION("""COMPUTED_VALUE"""),"ЭКС")</f>
        <v>ЭКС</v>
      </c>
      <c r="E34" s="20" t="str">
        <f ca="1">IFERROR(__xludf.DUMMYFUNCTION("""COMPUTED_VALUE"""),"копия")</f>
        <v>копия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6" ht="13.5" customHeight="1">
      <c r="A35" s="19">
        <v>29</v>
      </c>
      <c r="B35" s="19" t="str">
        <f ca="1">IFERROR(__xludf.DUMMYFUNCTION("""COMPUTED_VALUE"""),"Кулинич В.")</f>
        <v>Кулинич В.</v>
      </c>
      <c r="C35" s="19">
        <f ca="1">IFERROR(__xludf.DUMMYFUNCTION("""COMPUTED_VALUE"""),3.63)</f>
        <v>3.63</v>
      </c>
      <c r="D35" s="14" t="str">
        <f ca="1">IFERROR(__xludf.DUMMYFUNCTION("""COMPUTED_VALUE"""),"ЭКС")</f>
        <v>ЭКС</v>
      </c>
      <c r="E35" s="20" t="str">
        <f ca="1">IFERROR(__xludf.DUMMYFUNCTION("""COMPUTED_VALUE"""),"копия")</f>
        <v>копия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6" ht="13.5" customHeight="1">
      <c r="A36" s="19">
        <v>30</v>
      </c>
      <c r="B36" s="19" t="str">
        <f ca="1">IFERROR(__xludf.DUMMYFUNCTION("""COMPUTED_VALUE"""),"Кулинич В. ")</f>
        <v xml:space="preserve">Кулинич В. </v>
      </c>
      <c r="C36" s="19">
        <f ca="1">IFERROR(__xludf.DUMMYFUNCTION("""COMPUTED_VALUE"""),3.63)</f>
        <v>3.63</v>
      </c>
      <c r="D36" s="6" t="str">
        <f ca="1">IFERROR(__xludf.DUMMYFUNCTION("""COMPUTED_VALUE"""),"ЭКС")</f>
        <v>ЭКС</v>
      </c>
      <c r="E36" s="20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6" ht="13.5" customHeight="1">
      <c r="A37" s="19">
        <v>31</v>
      </c>
      <c r="B37" s="19" t="str">
        <f ca="1">IFERROR(__xludf.DUMMYFUNCTION("""COMPUTED_VALUE"""),"Деменчук В.")</f>
        <v>Деменчук В.</v>
      </c>
      <c r="C37" s="33">
        <f ca="1">IFERROR(__xludf.DUMMYFUNCTION("""COMPUTED_VALUE"""),3.63)</f>
        <v>3.63</v>
      </c>
      <c r="D37" s="6" t="str">
        <f ca="1">IFERROR(__xludf.DUMMYFUNCTION("""COMPUTED_VALUE"""),"ЭКС")</f>
        <v>ЭКС</v>
      </c>
      <c r="E37" s="20" t="str">
        <f ca="1">IFERROR(__xludf.DUMMYFUNCTION("""COMPUTED_VALUE"""),"копия")</f>
        <v>копия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6" ht="13.5" customHeight="1">
      <c r="A38" s="19">
        <v>32</v>
      </c>
      <c r="B38" s="19" t="str">
        <f ca="1">IFERROR(__xludf.DUMMYFUNCTION("""COMPUTED_VALUE"""),"Забавский М.")</f>
        <v>Забавский М.</v>
      </c>
      <c r="C38" s="33">
        <f ca="1">IFERROR(__xludf.DUMMYFUNCTION("""COMPUTED_VALUE"""),3.61)</f>
        <v>3.61</v>
      </c>
      <c r="D38" s="6" t="str">
        <f ca="1">IFERROR(__xludf.DUMMYFUNCTION("""COMPUTED_VALUE"""),"ЭКС")</f>
        <v>ЭКС</v>
      </c>
      <c r="E38" s="20" t="str">
        <f ca="1">IFERROR(__xludf.DUMMYFUNCTION("""COMPUTED_VALUE"""),"оригинал ")</f>
        <v xml:space="preserve">оригинал 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6" ht="13.5" customHeight="1">
      <c r="A39" s="19">
        <v>33</v>
      </c>
      <c r="B39" s="19" t="str">
        <f ca="1">IFERROR(__xludf.DUMMYFUNCTION("""COMPUTED_VALUE"""),"Канев Р. В.")</f>
        <v>Канев Р. В.</v>
      </c>
      <c r="C39" s="29">
        <f ca="1">IFERROR(__xludf.DUMMYFUNCTION("""COMPUTED_VALUE"""),3.61)</f>
        <v>3.61</v>
      </c>
      <c r="D39" s="6" t="str">
        <f ca="1">IFERROR(__xludf.DUMMYFUNCTION("""COMPUTED_VALUE"""),"ЭКС")</f>
        <v>ЭКС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6" ht="13.5" customHeight="1">
      <c r="A40" s="19">
        <v>34</v>
      </c>
      <c r="B40" s="19" t="str">
        <f ca="1">IFERROR(__xludf.DUMMYFUNCTION("""COMPUTED_VALUE"""),"Кашинцев Д.")</f>
        <v>Кашинцев Д.</v>
      </c>
      <c r="C40" s="33">
        <f ca="1">IFERROR(__xludf.DUMMYFUNCTION("""COMPUTED_VALUE"""),3.58)</f>
        <v>3.58</v>
      </c>
      <c r="D40" s="6" t="str">
        <f ca="1">IFERROR(__xludf.DUMMYFUNCTION("""COMPUTED_VALUE"""),"ЭКС")</f>
        <v>ЭКС</v>
      </c>
      <c r="E40" s="20" t="str">
        <f ca="1">IFERROR(__xludf.DUMMYFUNCTION("""COMPUTED_VALUE"""),"оригинал ")</f>
        <v xml:space="preserve">оригинал 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6" ht="13.5" customHeight="1">
      <c r="A41" s="19">
        <v>35</v>
      </c>
      <c r="B41" s="19" t="str">
        <f ca="1">IFERROR(__xludf.DUMMYFUNCTION("""COMPUTED_VALUE"""),"Попова В.")</f>
        <v>Попова В.</v>
      </c>
      <c r="C41" s="33">
        <f ca="1">IFERROR(__xludf.DUMMYFUNCTION("""COMPUTED_VALUE"""),3.58)</f>
        <v>3.58</v>
      </c>
      <c r="D41" s="6" t="str">
        <f ca="1">IFERROR(__xludf.DUMMYFUNCTION("""COMPUTED_VALUE"""),"ЭКС")</f>
        <v>ЭКС</v>
      </c>
      <c r="E41" s="20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6" ht="13.5" customHeight="1">
      <c r="A42" s="19">
        <v>36</v>
      </c>
      <c r="B42" s="19" t="str">
        <f ca="1">IFERROR(__xludf.DUMMYFUNCTION("""COMPUTED_VALUE"""),"Софьин И. С.")</f>
        <v>Софьин И. С.</v>
      </c>
      <c r="C42" s="29">
        <f ca="1">IFERROR(__xludf.DUMMYFUNCTION("""COMPUTED_VALUE"""),3.58)</f>
        <v>3.58</v>
      </c>
      <c r="D42" s="6" t="str">
        <f ca="1">IFERROR(__xludf.DUMMYFUNCTION("""COMPUTED_VALUE"""),"ЭКС")</f>
        <v>ЭКС</v>
      </c>
      <c r="E42" s="20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6" ht="13.5" customHeight="1">
      <c r="A43" s="30">
        <v>37</v>
      </c>
      <c r="B43" s="19" t="str">
        <f ca="1">IFERROR(__xludf.DUMMYFUNCTION("""COMPUTED_VALUE"""),"Торлопов Д.")</f>
        <v>Торлопов Д.</v>
      </c>
      <c r="C43" s="33">
        <f ca="1">IFERROR(__xludf.DUMMYFUNCTION("""COMPUTED_VALUE"""),3.57)</f>
        <v>3.57</v>
      </c>
      <c r="D43" s="6" t="str">
        <f ca="1">IFERROR(__xludf.DUMMYFUNCTION("""COMPUTED_VALUE"""),"ЭКС")</f>
        <v>ЭКС</v>
      </c>
      <c r="E43" s="20" t="str">
        <f ca="1">IFERROR(__xludf.DUMMYFUNCTION("""COMPUTED_VALUE"""),"копия")</f>
        <v>копия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6" ht="13.5" customHeight="1">
      <c r="A44" s="30">
        <v>38</v>
      </c>
      <c r="B44" s="19" t="str">
        <f ca="1">IFERROR(__xludf.DUMMYFUNCTION("""COMPUTED_VALUE"""),"Тепляков С.")</f>
        <v>Тепляков С.</v>
      </c>
      <c r="C44" s="33">
        <f ca="1">IFERROR(__xludf.DUMMYFUNCTION("""COMPUTED_VALUE"""),3.56)</f>
        <v>3.56</v>
      </c>
      <c r="D44" s="6" t="str">
        <f ca="1">IFERROR(__xludf.DUMMYFUNCTION("""COMPUTED_VALUE"""),"ЭКС")</f>
        <v>ЭКС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6" ht="13.5" customHeight="1">
      <c r="A45" s="30">
        <v>39</v>
      </c>
      <c r="B45" s="19" t="str">
        <f ca="1">IFERROR(__xludf.DUMMYFUNCTION("""COMPUTED_VALUE"""),"Мухамедов К.")</f>
        <v>Мухамедов К.</v>
      </c>
      <c r="C45" s="33">
        <f ca="1">IFERROR(__xludf.DUMMYFUNCTION("""COMPUTED_VALUE"""),3.53)</f>
        <v>3.53</v>
      </c>
      <c r="D45" s="6" t="str">
        <f ca="1">IFERROR(__xludf.DUMMYFUNCTION("""COMPUTED_VALUE"""),"ЭКС")</f>
        <v>ЭКС</v>
      </c>
      <c r="E45" s="20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6" ht="13.5" customHeight="1">
      <c r="A46" s="30">
        <v>40</v>
      </c>
      <c r="B46" s="19" t="str">
        <f ca="1">IFERROR(__xludf.DUMMYFUNCTION("""COMPUTED_VALUE"""),"Семенова Ю.")</f>
        <v>Семенова Ю.</v>
      </c>
      <c r="C46" s="33">
        <f ca="1">IFERROR(__xludf.DUMMYFUNCTION("""COMPUTED_VALUE"""),3.53)</f>
        <v>3.53</v>
      </c>
      <c r="D46" s="6" t="str">
        <f ca="1">IFERROR(__xludf.DUMMYFUNCTION("""COMPUTED_VALUE"""),"ЭКС")</f>
        <v>ЭКС</v>
      </c>
      <c r="E46" s="20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6" ht="13.5" customHeight="1">
      <c r="A47" s="30">
        <v>41</v>
      </c>
      <c r="B47" s="19" t="str">
        <f ca="1">IFERROR(__xludf.DUMMYFUNCTION("""COMPUTED_VALUE"""),"Рассыхаева К.")</f>
        <v>Рассыхаева К.</v>
      </c>
      <c r="C47" s="33">
        <f ca="1">IFERROR(__xludf.DUMMYFUNCTION("""COMPUTED_VALUE"""),3.52)</f>
        <v>3.52</v>
      </c>
      <c r="D47" s="6" t="str">
        <f ca="1">IFERROR(__xludf.DUMMYFUNCTION("""COMPUTED_VALUE"""),"ЭКС")</f>
        <v>ЭКС</v>
      </c>
      <c r="E47" s="20" t="str">
        <f ca="1">IFERROR(__xludf.DUMMYFUNCTION("""COMPUTED_VALUE"""),"копия")</f>
        <v>копия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6" ht="13.5" customHeight="1">
      <c r="A48" s="30">
        <v>42</v>
      </c>
      <c r="B48" s="19" t="str">
        <f ca="1">IFERROR(__xludf.DUMMYFUNCTION("""COMPUTED_VALUE"""),"Шпулинг А.")</f>
        <v>Шпулинг А.</v>
      </c>
      <c r="C48" s="33">
        <f ca="1">IFERROR(__xludf.DUMMYFUNCTION("""COMPUTED_VALUE"""),3.5)</f>
        <v>3.5</v>
      </c>
      <c r="D48" s="6" t="str">
        <f ca="1">IFERROR(__xludf.DUMMYFUNCTION("""COMPUTED_VALUE"""),"ЭКС")</f>
        <v>ЭКС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30">
        <v>43</v>
      </c>
      <c r="B49" s="19" t="str">
        <f ca="1">IFERROR(__xludf.DUMMYFUNCTION("""COMPUTED_VALUE"""),"Мисиров Д. А.")</f>
        <v>Мисиров Д. А.</v>
      </c>
      <c r="C49" s="29">
        <f ca="1">IFERROR(__xludf.DUMMYFUNCTION("""COMPUTED_VALUE"""),3.5)</f>
        <v>3.5</v>
      </c>
      <c r="D49" s="6" t="str">
        <f ca="1">IFERROR(__xludf.DUMMYFUNCTION("""COMPUTED_VALUE"""),"ЭКС")</f>
        <v>ЭКС</v>
      </c>
      <c r="E49" s="20" t="str">
        <f ca="1">IFERROR(__xludf.DUMMYFUNCTION("""COMPUTED_VALUE"""),"оригинал")</f>
        <v>оригинал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30">
        <v>44</v>
      </c>
      <c r="B50" s="19" t="str">
        <f ca="1">IFERROR(__xludf.DUMMYFUNCTION("""COMPUTED_VALUE"""),"Казаку Г.")</f>
        <v>Казаку Г.</v>
      </c>
      <c r="C50" s="33">
        <f ca="1">IFERROR(__xludf.DUMMYFUNCTION("""COMPUTED_VALUE"""),3.44)</f>
        <v>3.44</v>
      </c>
      <c r="D50" s="6" t="str">
        <f ca="1">IFERROR(__xludf.DUMMYFUNCTION("""COMPUTED_VALUE"""),"ЭКС")</f>
        <v>ЭКС</v>
      </c>
      <c r="E50" s="20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30">
        <v>45</v>
      </c>
      <c r="B51" s="19" t="str">
        <f ca="1">IFERROR(__xludf.DUMMYFUNCTION("""COMPUTED_VALUE"""),"Осипов М.")</f>
        <v>Осипов М.</v>
      </c>
      <c r="C51" s="19">
        <f ca="1">IFERROR(__xludf.DUMMYFUNCTION("""COMPUTED_VALUE"""),3.44)</f>
        <v>3.44</v>
      </c>
      <c r="D51" s="6" t="str">
        <f ca="1">IFERROR(__xludf.DUMMYFUNCTION("""COMPUTED_VALUE"""),"ЭКС")</f>
        <v>ЭКС</v>
      </c>
      <c r="E51" s="20" t="str">
        <f ca="1">IFERROR(__xludf.DUMMYFUNCTION("""COMPUTED_VALUE"""),"оригинал")</f>
        <v>оригинал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30">
        <v>46</v>
      </c>
      <c r="B52" s="19" t="str">
        <f ca="1">IFERROR(__xludf.DUMMYFUNCTION("""COMPUTED_VALUE"""),"Казаку Г. ")</f>
        <v xml:space="preserve">Казаку Г. </v>
      </c>
      <c r="C52" s="19">
        <f ca="1">IFERROR(__xludf.DUMMYFUNCTION("""COMPUTED_VALUE"""),3.44)</f>
        <v>3.44</v>
      </c>
      <c r="D52" s="6" t="str">
        <f ca="1">IFERROR(__xludf.DUMMYFUNCTION("""COMPUTED_VALUE"""),"ЭКС")</f>
        <v>ЭКС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30">
        <v>47</v>
      </c>
      <c r="B53" s="19" t="str">
        <f ca="1">IFERROR(__xludf.DUMMYFUNCTION("""COMPUTED_VALUE"""),"Мазурчик А.")</f>
        <v>Мазурчик А.</v>
      </c>
      <c r="C53" s="33">
        <f ca="1">IFERROR(__xludf.DUMMYFUNCTION("""COMPUTED_VALUE"""),3.44)</f>
        <v>3.44</v>
      </c>
      <c r="D53" s="6" t="str">
        <f ca="1">IFERROR(__xludf.DUMMYFUNCTION("""COMPUTED_VALUE"""),"ЭКС")</f>
        <v>ЭКС</v>
      </c>
      <c r="E53" s="20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30">
        <v>48</v>
      </c>
      <c r="B54" s="19" t="str">
        <f ca="1">IFERROR(__xludf.DUMMYFUNCTION("""COMPUTED_VALUE"""),"Мазурчик А.")</f>
        <v>Мазурчик А.</v>
      </c>
      <c r="C54" s="33">
        <f ca="1">IFERROR(__xludf.DUMMYFUNCTION("""COMPUTED_VALUE"""),3.44)</f>
        <v>3.44</v>
      </c>
      <c r="D54" s="6" t="str">
        <f ca="1">IFERROR(__xludf.DUMMYFUNCTION("""COMPUTED_VALUE"""),"ЭКС")</f>
        <v>ЭКС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30">
        <v>49</v>
      </c>
      <c r="B55" s="19" t="str">
        <f ca="1">IFERROR(__xludf.DUMMYFUNCTION("""COMPUTED_VALUE"""),"Девятков А.Н.")</f>
        <v>Девятков А.Н.</v>
      </c>
      <c r="C55" s="29">
        <f ca="1">IFERROR(__xludf.DUMMYFUNCTION("""COMPUTED_VALUE"""),3.44)</f>
        <v>3.44</v>
      </c>
      <c r="D55" s="6" t="str">
        <f ca="1">IFERROR(__xludf.DUMMYFUNCTION("""COMPUTED_VALUE"""),"ЭКС")</f>
        <v>ЭКС</v>
      </c>
      <c r="E55" s="20" t="str">
        <f ca="1">IFERROR(__xludf.DUMMYFUNCTION("""COMPUTED_VALUE"""),"оригинал")</f>
        <v>оригинал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30">
        <v>50</v>
      </c>
      <c r="B56" s="19" t="str">
        <f ca="1">IFERROR(__xludf.DUMMYFUNCTION("""COMPUTED_VALUE"""),"Попов Р.")</f>
        <v>Попов Р.</v>
      </c>
      <c r="C56" s="19">
        <f ca="1">IFERROR(__xludf.DUMMYFUNCTION("""COMPUTED_VALUE"""),3.42)</f>
        <v>3.42</v>
      </c>
      <c r="D56" s="6" t="str">
        <f ca="1">IFERROR(__xludf.DUMMYFUNCTION("""COMPUTED_VALUE"""),"ЭКС")</f>
        <v>ЭКС</v>
      </c>
      <c r="E56" s="20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30">
        <v>51</v>
      </c>
      <c r="B57" s="19" t="str">
        <f ca="1">IFERROR(__xludf.DUMMYFUNCTION("""COMPUTED_VALUE"""),"Мальцев М. В.")</f>
        <v>Мальцев М. В.</v>
      </c>
      <c r="C57" s="29">
        <f ca="1">IFERROR(__xludf.DUMMYFUNCTION("""COMPUTED_VALUE"""),3.42)</f>
        <v>3.42</v>
      </c>
      <c r="D57" s="6" t="str">
        <f ca="1">IFERROR(__xludf.DUMMYFUNCTION("""COMPUTED_VALUE"""),"ЭКС")</f>
        <v>ЭКС</v>
      </c>
      <c r="E57" s="20" t="str">
        <f ca="1">IFERROR(__xludf.DUMMYFUNCTION("""COMPUTED_VALUE"""),"копия")</f>
        <v>копия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30">
        <v>52</v>
      </c>
      <c r="B58" s="19" t="str">
        <f ca="1">IFERROR(__xludf.DUMMYFUNCTION("""COMPUTED_VALUE"""),"Юцкевич Е.В.")</f>
        <v>Юцкевич Е.В.</v>
      </c>
      <c r="C58" s="29">
        <f ca="1">IFERROR(__xludf.DUMMYFUNCTION("""COMPUTED_VALUE"""),3.4)</f>
        <v>3.4</v>
      </c>
      <c r="D58" s="6" t="str">
        <f ca="1">IFERROR(__xludf.DUMMYFUNCTION("""COMPUTED_VALUE"""),"ЭКС")</f>
        <v>ЭКС</v>
      </c>
      <c r="E58" s="20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30">
        <v>53</v>
      </c>
      <c r="B59" s="19" t="str">
        <f ca="1">IFERROR(__xludf.DUMMYFUNCTION("""COMPUTED_VALUE"""),"Морозов Н.")</f>
        <v>Морозов Н.</v>
      </c>
      <c r="C59" s="33">
        <f ca="1">IFERROR(__xludf.DUMMYFUNCTION("""COMPUTED_VALUE"""),3.39)</f>
        <v>3.39</v>
      </c>
      <c r="D59" s="6" t="str">
        <f ca="1">IFERROR(__xludf.DUMMYFUNCTION("""COMPUTED_VALUE"""),"ЭКС")</f>
        <v>ЭКС</v>
      </c>
      <c r="E59" s="20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30">
        <v>54</v>
      </c>
      <c r="B60" s="19" t="str">
        <f ca="1">IFERROR(__xludf.DUMMYFUNCTION("""COMPUTED_VALUE"""),"Булатов В.")</f>
        <v>Булатов В.</v>
      </c>
      <c r="C60" s="33">
        <f ca="1">IFERROR(__xludf.DUMMYFUNCTION("""COMPUTED_VALUE"""),3.38)</f>
        <v>3.38</v>
      </c>
      <c r="D60" s="6" t="str">
        <f ca="1">IFERROR(__xludf.DUMMYFUNCTION("""COMPUTED_VALUE"""),"ЭКС")</f>
        <v>ЭКС</v>
      </c>
      <c r="E60" s="20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30">
        <v>55</v>
      </c>
      <c r="B61" s="19" t="str">
        <f ca="1">IFERROR(__xludf.DUMMYFUNCTION("""COMPUTED_VALUE"""),"Мишарин М.")</f>
        <v>Мишарин М.</v>
      </c>
      <c r="C61" s="33">
        <f ca="1">IFERROR(__xludf.DUMMYFUNCTION("""COMPUTED_VALUE"""),3.36)</f>
        <v>3.36</v>
      </c>
      <c r="D61" s="6" t="str">
        <f ca="1">IFERROR(__xludf.DUMMYFUNCTION("""COMPUTED_VALUE"""),"ЭКС")</f>
        <v>ЭКС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30">
        <v>56</v>
      </c>
      <c r="B62" s="19" t="str">
        <f ca="1">IFERROR(__xludf.DUMMYFUNCTION("""COMPUTED_VALUE"""),"Симонов А.")</f>
        <v>Симонов А.</v>
      </c>
      <c r="C62" s="33">
        <f ca="1">IFERROR(__xludf.DUMMYFUNCTION("""COMPUTED_VALUE"""),3.36)</f>
        <v>3.36</v>
      </c>
      <c r="D62" s="6" t="str">
        <f ca="1">IFERROR(__xludf.DUMMYFUNCTION("""COMPUTED_VALUE"""),"ЭКС")</f>
        <v>ЭКС</v>
      </c>
      <c r="E62" s="20" t="str">
        <f ca="1">IFERROR(__xludf.DUMMYFUNCTION("""COMPUTED_VALUE"""),"оригинал")</f>
        <v>оригинал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30">
        <v>57</v>
      </c>
      <c r="B63" s="19" t="str">
        <f ca="1">IFERROR(__xludf.DUMMYFUNCTION("""COMPUTED_VALUE"""),"Шишкин М.")</f>
        <v>Шишкин М.</v>
      </c>
      <c r="C63" s="33">
        <f ca="1">IFERROR(__xludf.DUMMYFUNCTION("""COMPUTED_VALUE"""),3.36)</f>
        <v>3.36</v>
      </c>
      <c r="D63" s="6" t="str">
        <f ca="1">IFERROR(__xludf.DUMMYFUNCTION("""COMPUTED_VALUE"""),"ЭКС")</f>
        <v>ЭКС</v>
      </c>
      <c r="E63" s="20" t="str">
        <f ca="1">IFERROR(__xludf.DUMMYFUNCTION("""COMPUTED_VALUE"""),"оригинал ")</f>
        <v xml:space="preserve">оригинал 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30">
        <v>58</v>
      </c>
      <c r="B64" s="19" t="str">
        <f ca="1">IFERROR(__xludf.DUMMYFUNCTION("""COMPUTED_VALUE"""),"Артаманов А.")</f>
        <v>Артаманов А.</v>
      </c>
      <c r="C64" s="33">
        <f ca="1">IFERROR(__xludf.DUMMYFUNCTION("""COMPUTED_VALUE"""),3.35)</f>
        <v>3.35</v>
      </c>
      <c r="D64" s="6" t="str">
        <f ca="1">IFERROR(__xludf.DUMMYFUNCTION("""COMPUTED_VALUE"""),"ЭКС")</f>
        <v>ЭКС</v>
      </c>
      <c r="E64" s="20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30">
        <v>59</v>
      </c>
      <c r="B65" s="19" t="str">
        <f ca="1">IFERROR(__xludf.DUMMYFUNCTION("""COMPUTED_VALUE"""),"Сердитов Д.")</f>
        <v>Сердитов Д.</v>
      </c>
      <c r="C65" s="33">
        <f ca="1">IFERROR(__xludf.DUMMYFUNCTION("""COMPUTED_VALUE"""),3.35)</f>
        <v>3.35</v>
      </c>
      <c r="D65" s="6" t="str">
        <f ca="1">IFERROR(__xludf.DUMMYFUNCTION("""COMPUTED_VALUE"""),"ЭКС")</f>
        <v>ЭКС</v>
      </c>
      <c r="E65" s="20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19" t="str">
        <f ca="1">IFERROR(__xludf.DUMMYFUNCTION("""COMPUTED_VALUE"""),"Чупров И.")</f>
        <v>Чупров И.</v>
      </c>
      <c r="C66" s="33">
        <f ca="1">IFERROR(__xludf.DUMMYFUNCTION("""COMPUTED_VALUE"""),3.33)</f>
        <v>3.33</v>
      </c>
      <c r="D66" s="6" t="str">
        <f ca="1">IFERROR(__xludf.DUMMYFUNCTION("""COMPUTED_VALUE"""),"ЭКС")</f>
        <v>ЭКС</v>
      </c>
      <c r="E66" s="20" t="str">
        <f ca="1">IFERROR(__xludf.DUMMYFUNCTION("""COMPUTED_VALUE"""),"оригинал")</f>
        <v>оригинал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19" t="str">
        <f ca="1">IFERROR(__xludf.DUMMYFUNCTION("""COMPUTED_VALUE"""),"Манзадей В.")</f>
        <v>Манзадей В.</v>
      </c>
      <c r="C67" s="33">
        <f ca="1">IFERROR(__xludf.DUMMYFUNCTION("""COMPUTED_VALUE"""),3.33)</f>
        <v>3.33</v>
      </c>
      <c r="D67" s="6" t="str">
        <f ca="1">IFERROR(__xludf.DUMMYFUNCTION("""COMPUTED_VALUE"""),"ЭКС")</f>
        <v>ЭКС</v>
      </c>
      <c r="E67" s="20" t="str">
        <f ca="1">IFERROR(__xludf.DUMMYFUNCTION("""COMPUTED_VALUE"""),"копия")</f>
        <v>копия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19" t="str">
        <f ca="1">IFERROR(__xludf.DUMMYFUNCTION("""COMPUTED_VALUE"""),"Старостенко К. Е.")</f>
        <v>Старостенко К. Е.</v>
      </c>
      <c r="C68" s="29">
        <f ca="1">IFERROR(__xludf.DUMMYFUNCTION("""COMPUTED_VALUE"""),3.33)</f>
        <v>3.33</v>
      </c>
      <c r="D68" s="6" t="str">
        <f ca="1">IFERROR(__xludf.DUMMYFUNCTION("""COMPUTED_VALUE"""),"ЭКС")</f>
        <v>ЭКС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19" t="str">
        <f ca="1">IFERROR(__xludf.DUMMYFUNCTION("""COMPUTED_VALUE"""),"Панюков Г.")</f>
        <v>Панюков Г.</v>
      </c>
      <c r="C69" s="33">
        <f ca="1">IFERROR(__xludf.DUMMYFUNCTION("""COMPUTED_VALUE"""),3.32)</f>
        <v>3.32</v>
      </c>
      <c r="D69" s="6" t="str">
        <f ca="1">IFERROR(__xludf.DUMMYFUNCTION("""COMPUTED_VALUE"""),"ЭКС")</f>
        <v>ЭКС</v>
      </c>
      <c r="E69" s="20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19" t="str">
        <f ca="1">IFERROR(__xludf.DUMMYFUNCTION("""COMPUTED_VALUE"""),"Строю К.")</f>
        <v>Строю К.</v>
      </c>
      <c r="C70" s="33">
        <f ca="1">IFERROR(__xludf.DUMMYFUNCTION("""COMPUTED_VALUE"""),3.31)</f>
        <v>3.31</v>
      </c>
      <c r="D70" s="6" t="str">
        <f ca="1">IFERROR(__xludf.DUMMYFUNCTION("""COMPUTED_VALUE"""),"ЭКС")</f>
        <v>ЭКС</v>
      </c>
      <c r="E70" s="20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19" t="str">
        <f ca="1">IFERROR(__xludf.DUMMYFUNCTION("""COMPUTED_VALUE"""),"Шаркова Э.")</f>
        <v>Шаркова Э.</v>
      </c>
      <c r="C71" s="33">
        <f ca="1">IFERROR(__xludf.DUMMYFUNCTION("""COMPUTED_VALUE"""),3.3)</f>
        <v>3.3</v>
      </c>
      <c r="D71" s="6" t="str">
        <f ca="1">IFERROR(__xludf.DUMMYFUNCTION("""COMPUTED_VALUE"""),"ЭКС")</f>
        <v>ЭКС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19" t="str">
        <f ca="1">IFERROR(__xludf.DUMMYFUNCTION("""COMPUTED_VALUE"""),"Бончковский Д.")</f>
        <v>Бончковский Д.</v>
      </c>
      <c r="C72" s="33">
        <f ca="1">IFERROR(__xludf.DUMMYFUNCTION("""COMPUTED_VALUE"""),3.28)</f>
        <v>3.28</v>
      </c>
      <c r="D72" s="6" t="str">
        <f ca="1">IFERROR(__xludf.DUMMYFUNCTION("""COMPUTED_VALUE"""),"ЭКС")</f>
        <v>ЭКС</v>
      </c>
      <c r="E72" s="20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19" t="str">
        <f ca="1">IFERROR(__xludf.DUMMYFUNCTION("""COMPUTED_VALUE"""),"Бончковский Д.")</f>
        <v>Бончковский Д.</v>
      </c>
      <c r="C73" s="33">
        <f ca="1">IFERROR(__xludf.DUMMYFUNCTION("""COMPUTED_VALUE"""),3.28)</f>
        <v>3.28</v>
      </c>
      <c r="D73" s="6" t="str">
        <f ca="1">IFERROR(__xludf.DUMMYFUNCTION("""COMPUTED_VALUE"""),"ЭКС")</f>
        <v>ЭКС</v>
      </c>
      <c r="E73" s="20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19" t="str">
        <f ca="1">IFERROR(__xludf.DUMMYFUNCTION("""COMPUTED_VALUE"""),"Нечаев В. С.")</f>
        <v>Нечаев В. С.</v>
      </c>
      <c r="C74" s="29">
        <f ca="1">IFERROR(__xludf.DUMMYFUNCTION("""COMPUTED_VALUE"""),3.28)</f>
        <v>3.28</v>
      </c>
      <c r="D74" s="6" t="str">
        <f ca="1">IFERROR(__xludf.DUMMYFUNCTION("""COMPUTED_VALUE"""),"ЭКС")</f>
        <v>ЭКС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19" t="str">
        <f ca="1">IFERROR(__xludf.DUMMYFUNCTION("""COMPUTED_VALUE"""),"Спирькин Н.")</f>
        <v>Спирькин Н.</v>
      </c>
      <c r="C75" s="19">
        <f ca="1">IFERROR(__xludf.DUMMYFUNCTION("""COMPUTED_VALUE"""),3.27)</f>
        <v>3.27</v>
      </c>
      <c r="D75" s="6" t="str">
        <f ca="1">IFERROR(__xludf.DUMMYFUNCTION("""COMPUTED_VALUE"""),"ЭКС")</f>
        <v>ЭКС</v>
      </c>
      <c r="E75" s="20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19" t="str">
        <f ca="1">IFERROR(__xludf.DUMMYFUNCTION("""COMPUTED_VALUE"""),"Югов Н.")</f>
        <v>Югов Н.</v>
      </c>
      <c r="C76" s="33">
        <f ca="1">IFERROR(__xludf.DUMMYFUNCTION("""COMPUTED_VALUE"""),3.27)</f>
        <v>3.27</v>
      </c>
      <c r="D76" s="6" t="str">
        <f ca="1">IFERROR(__xludf.DUMMYFUNCTION("""COMPUTED_VALUE"""),"ЭКС")</f>
        <v>ЭКС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19" t="str">
        <f ca="1">IFERROR(__xludf.DUMMYFUNCTION("""COMPUTED_VALUE"""),"Митюнин А.")</f>
        <v>Митюнин А.</v>
      </c>
      <c r="C77" s="19">
        <f ca="1">IFERROR(__xludf.DUMMYFUNCTION("""COMPUTED_VALUE"""),3.26)</f>
        <v>3.26</v>
      </c>
      <c r="D77" s="6" t="str">
        <f ca="1">IFERROR(__xludf.DUMMYFUNCTION("""COMPUTED_VALUE"""),"ЭКС")</f>
        <v>ЭКС</v>
      </c>
      <c r="E77" s="20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72</v>
      </c>
      <c r="B78" s="19" t="str">
        <f ca="1">IFERROR(__xludf.DUMMYFUNCTION("""COMPUTED_VALUE"""),"Бушуев М.")</f>
        <v>Бушуев М.</v>
      </c>
      <c r="C78" s="33">
        <f ca="1">IFERROR(__xludf.DUMMYFUNCTION("""COMPUTED_VALUE"""),3.26)</f>
        <v>3.26</v>
      </c>
      <c r="D78" s="6" t="str">
        <f ca="1">IFERROR(__xludf.DUMMYFUNCTION("""COMPUTED_VALUE"""),"ЭКС")</f>
        <v>ЭКС</v>
      </c>
      <c r="E78" s="20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73</v>
      </c>
      <c r="B79" s="19" t="str">
        <f ca="1">IFERROR(__xludf.DUMMYFUNCTION("""COMPUTED_VALUE"""),"Торлопов А.")</f>
        <v>Торлопов А.</v>
      </c>
      <c r="C79" s="33">
        <f ca="1">IFERROR(__xludf.DUMMYFUNCTION("""COMPUTED_VALUE"""),3.26)</f>
        <v>3.26</v>
      </c>
      <c r="D79" s="6" t="str">
        <f ca="1">IFERROR(__xludf.DUMMYFUNCTION("""COMPUTED_VALUE"""),"ЭКС")</f>
        <v>ЭКС</v>
      </c>
      <c r="E79" s="20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74</v>
      </c>
      <c r="B80" s="19" t="str">
        <f ca="1">IFERROR(__xludf.DUMMYFUNCTION("""COMPUTED_VALUE"""),"Попов А.")</f>
        <v>Попов А.</v>
      </c>
      <c r="C80" s="33">
        <f ca="1">IFERROR(__xludf.DUMMYFUNCTION("""COMPUTED_VALUE"""),3.26)</f>
        <v>3.26</v>
      </c>
      <c r="D80" s="6" t="str">
        <f ca="1">IFERROR(__xludf.DUMMYFUNCTION("""COMPUTED_VALUE"""),"ЭКС")</f>
        <v>ЭКС</v>
      </c>
      <c r="E80" s="20" t="str">
        <f ca="1">IFERROR(__xludf.DUMMYFUNCTION("""COMPUTED_VALUE"""),"копия")</f>
        <v>копия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75</v>
      </c>
      <c r="B81" s="19" t="str">
        <f ca="1">IFERROR(__xludf.DUMMYFUNCTION("""COMPUTED_VALUE"""),"Литвиненко И.")</f>
        <v>Литвиненко И.</v>
      </c>
      <c r="C81" s="33">
        <f ca="1">IFERROR(__xludf.DUMMYFUNCTION("""COMPUTED_VALUE"""),3.23)</f>
        <v>3.23</v>
      </c>
      <c r="D81" s="6" t="str">
        <f ca="1">IFERROR(__xludf.DUMMYFUNCTION("""COMPUTED_VALUE"""),"ЭКС")</f>
        <v>ЭКС</v>
      </c>
      <c r="E81" s="20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76</v>
      </c>
      <c r="B82" s="19" t="str">
        <f ca="1">IFERROR(__xludf.DUMMYFUNCTION("""COMPUTED_VALUE"""),"Зезегов С.")</f>
        <v>Зезегов С.</v>
      </c>
      <c r="C82" s="33">
        <f ca="1">IFERROR(__xludf.DUMMYFUNCTION("""COMPUTED_VALUE"""),3.22)</f>
        <v>3.22</v>
      </c>
      <c r="D82" s="6" t="str">
        <f ca="1">IFERROR(__xludf.DUMMYFUNCTION("""COMPUTED_VALUE"""),"ЭКС")</f>
        <v>ЭКС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77</v>
      </c>
      <c r="B83" s="19" t="str">
        <f ca="1">IFERROR(__xludf.DUMMYFUNCTION("""COMPUTED_VALUE"""),"Просужих Н.")</f>
        <v>Просужих Н.</v>
      </c>
      <c r="C83" s="33">
        <f ca="1">IFERROR(__xludf.DUMMYFUNCTION("""COMPUTED_VALUE"""),3.22)</f>
        <v>3.22</v>
      </c>
      <c r="D83" s="6" t="str">
        <f ca="1">IFERROR(__xludf.DUMMYFUNCTION("""COMPUTED_VALUE"""),"ЭКС")</f>
        <v>ЭКС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78</v>
      </c>
      <c r="B84" s="19" t="str">
        <f ca="1">IFERROR(__xludf.DUMMYFUNCTION("""COMPUTED_VALUE"""),"Новинский В.")</f>
        <v>Новинский В.</v>
      </c>
      <c r="C84" s="33">
        <f ca="1">IFERROR(__xludf.DUMMYFUNCTION("""COMPUTED_VALUE"""),3.22)</f>
        <v>3.22</v>
      </c>
      <c r="D84" s="6" t="str">
        <f ca="1">IFERROR(__xludf.DUMMYFUNCTION("""COMPUTED_VALUE"""),"ЭКС")</f>
        <v>ЭКС</v>
      </c>
      <c r="E84" s="20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19" t="str">
        <f ca="1">IFERROR(__xludf.DUMMYFUNCTION("""COMPUTED_VALUE"""),"Леденцов С.")</f>
        <v>Леденцов С.</v>
      </c>
      <c r="C85" s="33">
        <f ca="1">IFERROR(__xludf.DUMMYFUNCTION("""COMPUTED_VALUE"""),3.21)</f>
        <v>3.21</v>
      </c>
      <c r="D85" s="19" t="str">
        <f ca="1">IFERROR(__xludf.DUMMYFUNCTION("""COMPUTED_VALUE"""),"ЭКС")</f>
        <v>ЭКС</v>
      </c>
      <c r="E85" s="19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19" t="str">
        <f ca="1">IFERROR(__xludf.DUMMYFUNCTION("""COMPUTED_VALUE"""),"Стремоусов А.")</f>
        <v>Стремоусов А.</v>
      </c>
      <c r="C86" s="33">
        <f ca="1">IFERROR(__xludf.DUMMYFUNCTION("""COMPUTED_VALUE"""),3.21)</f>
        <v>3.21</v>
      </c>
      <c r="D86" s="19" t="str">
        <f ca="1">IFERROR(__xludf.DUMMYFUNCTION("""COMPUTED_VALUE"""),"ЭКС")</f>
        <v>ЭКС</v>
      </c>
      <c r="E86" s="19" t="str">
        <f ca="1">IFERROR(__xludf.DUMMYFUNCTION("""COMPUTED_VALUE"""),"копия")</f>
        <v>копия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81</v>
      </c>
      <c r="B87" s="19" t="str">
        <f ca="1">IFERROR(__xludf.DUMMYFUNCTION("""COMPUTED_VALUE"""),"Терентьева М.")</f>
        <v>Терентьева М.</v>
      </c>
      <c r="C87" s="19">
        <f ca="1">IFERROR(__xludf.DUMMYFUNCTION("""COMPUTED_VALUE"""),3.2)</f>
        <v>3.2</v>
      </c>
      <c r="D87" s="19" t="str">
        <f ca="1">IFERROR(__xludf.DUMMYFUNCTION("""COMPUTED_VALUE"""),"ЭКС")</f>
        <v>ЭКС</v>
      </c>
      <c r="E87" s="19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82</v>
      </c>
      <c r="B88" s="19" t="str">
        <f ca="1">IFERROR(__xludf.DUMMYFUNCTION("""COMPUTED_VALUE"""),"Терентьева М.")</f>
        <v>Терентьева М.</v>
      </c>
      <c r="C88" s="19">
        <f ca="1">IFERROR(__xludf.DUMMYFUNCTION("""COMPUTED_VALUE"""),3.2)</f>
        <v>3.2</v>
      </c>
      <c r="D88" s="19" t="str">
        <f ca="1">IFERROR(__xludf.DUMMYFUNCTION("""COMPUTED_VALUE"""),"ЭКС")</f>
        <v>ЭКС</v>
      </c>
      <c r="E88" s="19" t="str">
        <f ca="1">IFERROR(__xludf.DUMMYFUNCTION("""COMPUTED_VALUE"""),"копия")</f>
        <v>копия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83</v>
      </c>
      <c r="B89" s="19" t="str">
        <f ca="1">IFERROR(__xludf.DUMMYFUNCTION("""COMPUTED_VALUE"""),"Чеусов А.")</f>
        <v>Чеусов А.</v>
      </c>
      <c r="C89" s="19">
        <f ca="1">IFERROR(__xludf.DUMMYFUNCTION("""COMPUTED_VALUE"""),3.2)</f>
        <v>3.2</v>
      </c>
      <c r="D89" s="19" t="str">
        <f ca="1">IFERROR(__xludf.DUMMYFUNCTION("""COMPUTED_VALUE"""),"ЭКС")</f>
        <v>ЭКС</v>
      </c>
      <c r="E89" s="19" t="str">
        <f ca="1">IFERROR(__xludf.DUMMYFUNCTION("""COMPUTED_VALUE"""),"оригинал")</f>
        <v>оригинал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84</v>
      </c>
      <c r="B90" s="19" t="str">
        <f ca="1">IFERROR(__xludf.DUMMYFUNCTION("""COMPUTED_VALUE"""),"Габов Н.")</f>
        <v>Габов Н.</v>
      </c>
      <c r="C90" s="19">
        <f ca="1">IFERROR(__xludf.DUMMYFUNCTION("""COMPUTED_VALUE"""),3.17)</f>
        <v>3.17</v>
      </c>
      <c r="D90" s="19" t="str">
        <f ca="1">IFERROR(__xludf.DUMMYFUNCTION("""COMPUTED_VALUE"""),"ЭКС")</f>
        <v>ЭКС</v>
      </c>
      <c r="E90" s="19" t="str">
        <f ca="1">IFERROR(__xludf.DUMMYFUNCTION("""COMPUTED_VALUE"""),"оригинал")</f>
        <v>оригинал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85</v>
      </c>
      <c r="B91" s="19" t="str">
        <f ca="1">IFERROR(__xludf.DUMMYFUNCTION("""COMPUTED_VALUE"""),"Лызлов Д.")</f>
        <v>Лызлов Д.</v>
      </c>
      <c r="C91" s="33">
        <f ca="1">IFERROR(__xludf.DUMMYFUNCTION("""COMPUTED_VALUE"""),3.16)</f>
        <v>3.16</v>
      </c>
      <c r="D91" s="19" t="str">
        <f ca="1">IFERROR(__xludf.DUMMYFUNCTION("""COMPUTED_VALUE"""),"ЭКС")</f>
        <v>ЭКС</v>
      </c>
      <c r="E91" s="19" t="str">
        <f ca="1">IFERROR(__xludf.DUMMYFUNCTION("""COMPUTED_VALUE"""),"копия")</f>
        <v>копия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86</v>
      </c>
      <c r="B92" s="19" t="str">
        <f ca="1">IFERROR(__xludf.DUMMYFUNCTION("""COMPUTED_VALUE"""),"Фатеев А.")</f>
        <v>Фатеев А.</v>
      </c>
      <c r="C92" s="33">
        <f ca="1">IFERROR(__xludf.DUMMYFUNCTION("""COMPUTED_VALUE"""),3.16)</f>
        <v>3.16</v>
      </c>
      <c r="D92" s="19" t="str">
        <f ca="1">IFERROR(__xludf.DUMMYFUNCTION("""COMPUTED_VALUE"""),"ЭКС")</f>
        <v>ЭКС</v>
      </c>
      <c r="E92" s="19" t="str">
        <f ca="1">IFERROR(__xludf.DUMMYFUNCTION("""COMPUTED_VALUE"""),"копия")</f>
        <v>копия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87</v>
      </c>
      <c r="B93" s="19" t="str">
        <f ca="1">IFERROR(__xludf.DUMMYFUNCTION("""COMPUTED_VALUE"""),"Лызлов Д. ")</f>
        <v xml:space="preserve">Лызлов Д. </v>
      </c>
      <c r="C93" s="19">
        <f ca="1">IFERROR(__xludf.DUMMYFUNCTION("""COMPUTED_VALUE"""),3.16)</f>
        <v>3.16</v>
      </c>
      <c r="D93" s="19" t="str">
        <f ca="1">IFERROR(__xludf.DUMMYFUNCTION("""COMPUTED_VALUE"""),"ЭКС")</f>
        <v>ЭКС</v>
      </c>
      <c r="E93" s="19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88</v>
      </c>
      <c r="B94" s="19" t="str">
        <f ca="1">IFERROR(__xludf.DUMMYFUNCTION("""COMPUTED_VALUE"""),"Фатеев А.")</f>
        <v>Фатеев А.</v>
      </c>
      <c r="C94" s="33">
        <f ca="1">IFERROR(__xludf.DUMMYFUNCTION("""COMPUTED_VALUE"""),3.16)</f>
        <v>3.16</v>
      </c>
      <c r="D94" s="19" t="str">
        <f ca="1">IFERROR(__xludf.DUMMYFUNCTION("""COMPUTED_VALUE"""),"ЭКС")</f>
        <v>ЭКС</v>
      </c>
      <c r="E94" s="19" t="str">
        <f ca="1">IFERROR(__xludf.DUMMYFUNCTION("""COMPUTED_VALUE"""),"копия")</f>
        <v>копия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89</v>
      </c>
      <c r="B95" s="19" t="str">
        <f ca="1">IFERROR(__xludf.DUMMYFUNCTION("""COMPUTED_VALUE"""),"Торлопов Д.")</f>
        <v>Торлопов Д.</v>
      </c>
      <c r="C95" s="33">
        <f ca="1">IFERROR(__xludf.DUMMYFUNCTION("""COMPUTED_VALUE"""),3.15)</f>
        <v>3.15</v>
      </c>
      <c r="D95" s="19" t="str">
        <f ca="1">IFERROR(__xludf.DUMMYFUNCTION("""COMPUTED_VALUE"""),"ЭКС")</f>
        <v>ЭКС</v>
      </c>
      <c r="E95" s="19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90</v>
      </c>
      <c r="B96" s="19" t="str">
        <f ca="1">IFERROR(__xludf.DUMMYFUNCTION("""COMPUTED_VALUE"""),"Шудрич Д.")</f>
        <v>Шудрич Д.</v>
      </c>
      <c r="C96" s="33">
        <f ca="1">IFERROR(__xludf.DUMMYFUNCTION("""COMPUTED_VALUE"""),3.15)</f>
        <v>3.15</v>
      </c>
      <c r="D96" s="19" t="str">
        <f ca="1">IFERROR(__xludf.DUMMYFUNCTION("""COMPUTED_VALUE"""),"ЭКС")</f>
        <v>ЭКС</v>
      </c>
      <c r="E96" s="19" t="str">
        <f ca="1">IFERROR(__xludf.DUMMYFUNCTION("""COMPUTED_VALUE"""),"копия")</f>
        <v>копия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30">
        <v>91</v>
      </c>
      <c r="B97" s="19" t="str">
        <f ca="1">IFERROR(__xludf.DUMMYFUNCTION("""COMPUTED_VALUE"""),"Каштаев В.")</f>
        <v>Каштаев В.</v>
      </c>
      <c r="C97" s="33">
        <f ca="1">IFERROR(__xludf.DUMMYFUNCTION("""COMPUTED_VALUE"""),3.11)</f>
        <v>3.11</v>
      </c>
      <c r="D97" s="19" t="str">
        <f ca="1">IFERROR(__xludf.DUMMYFUNCTION("""COMPUTED_VALUE"""),"ЭКС")</f>
        <v>ЭКС</v>
      </c>
      <c r="E97" s="19" t="str">
        <f ca="1">IFERROR(__xludf.DUMMYFUNCTION("""COMPUTED_VALUE"""),"копия")</f>
        <v>копия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30">
        <v>92</v>
      </c>
      <c r="B98" s="19" t="str">
        <f ca="1">IFERROR(__xludf.DUMMYFUNCTION("""COMPUTED_VALUE"""),"Лихачев С.")</f>
        <v>Лихачев С.</v>
      </c>
      <c r="C98" s="33">
        <f ca="1">IFERROR(__xludf.DUMMYFUNCTION("""COMPUTED_VALUE"""),3.11)</f>
        <v>3.11</v>
      </c>
      <c r="D98" s="19" t="str">
        <f ca="1">IFERROR(__xludf.DUMMYFUNCTION("""COMPUTED_VALUE"""),"ЭКС")</f>
        <v>ЭКС</v>
      </c>
      <c r="E98" s="19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30">
        <v>93</v>
      </c>
      <c r="B99" s="19" t="str">
        <f ca="1">IFERROR(__xludf.DUMMYFUNCTION("""COMPUTED_VALUE"""),"Потапов
 А.")</f>
        <v>Потапов
 А.</v>
      </c>
      <c r="C99" s="19">
        <f ca="1">IFERROR(__xludf.DUMMYFUNCTION("""COMPUTED_VALUE"""),3.05)</f>
        <v>3.05</v>
      </c>
      <c r="D99" s="19" t="str">
        <f ca="1">IFERROR(__xludf.DUMMYFUNCTION("""COMPUTED_VALUE"""),"ЭКС")</f>
        <v>ЭКС</v>
      </c>
      <c r="E99" s="19" t="str">
        <f ca="1">IFERROR(__xludf.DUMMYFUNCTION("""COMPUTED_VALUE"""),"копия")</f>
        <v>копия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30">
        <v>94</v>
      </c>
      <c r="B100" s="19" t="str">
        <f ca="1">IFERROR(__xludf.DUMMYFUNCTION("""COMPUTED_VALUE"""),"Лебедев М.")</f>
        <v>Лебедев М.</v>
      </c>
      <c r="C100" s="33">
        <f ca="1">IFERROR(__xludf.DUMMYFUNCTION("""COMPUTED_VALUE"""),3.05)</f>
        <v>3.05</v>
      </c>
      <c r="D100" s="19" t="str">
        <f ca="1">IFERROR(__xludf.DUMMYFUNCTION("""COMPUTED_VALUE"""),"ЭКС")</f>
        <v>ЭКС</v>
      </c>
      <c r="E100" s="19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30">
        <v>95</v>
      </c>
      <c r="B101" s="19" t="str">
        <f ca="1">IFERROR(__xludf.DUMMYFUNCTION("""COMPUTED_VALUE"""),"Куцко Р.В.")</f>
        <v>Куцко Р.В.</v>
      </c>
      <c r="C101" s="29">
        <f ca="1">IFERROR(__xludf.DUMMYFUNCTION("""COMPUTED_VALUE"""),3)</f>
        <v>3</v>
      </c>
      <c r="D101" s="19" t="str">
        <f ca="1">IFERROR(__xludf.DUMMYFUNCTION("""COMPUTED_VALUE"""),"ЭКС")</f>
        <v>ЭКС</v>
      </c>
      <c r="E101" s="19" t="str">
        <f ca="1">IFERROR(__xludf.DUMMYFUNCTION("""COMPUTED_VALUE"""),"копия")</f>
        <v>копия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30">
        <v>96</v>
      </c>
      <c r="B102" s="19"/>
      <c r="C102" s="19"/>
      <c r="D102" s="19" t="str">
        <f ca="1">IFERROR(__xludf.DUMMYFUNCTION("""COMPUTED_VALUE"""),"ЭКС")</f>
        <v>ЭКС</v>
      </c>
      <c r="E102" s="19" t="str">
        <f ca="1">IFERROR(__xludf.DUMMYFUNCTION("""COMPUTED_VALUE"""),"копия")</f>
        <v>копия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sqref="A1:C1"/>
    </sheetView>
  </sheetViews>
  <sheetFormatPr defaultColWidth="14.42578125" defaultRowHeight="15" customHeight="1"/>
  <cols>
    <col min="1" max="1" width="8.5703125" customWidth="1"/>
    <col min="2" max="2" width="29" customWidth="1"/>
    <col min="3" max="3" width="19.140625" customWidth="1"/>
    <col min="4" max="4" width="12.42578125" hidden="1" customWidth="1"/>
    <col min="5" max="5" width="16.5703125" customWidth="1"/>
    <col min="6" max="6" width="7.28515625" customWidth="1"/>
    <col min="7" max="15" width="8.85546875" customWidth="1"/>
    <col min="16" max="26" width="8.7109375" customWidth="1"/>
  </cols>
  <sheetData>
    <row r="1" spans="1:26" ht="17.25">
      <c r="A1" s="79"/>
      <c r="B1" s="72"/>
      <c r="C1" s="72"/>
      <c r="D1" s="3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768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769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72"/>
      <c r="E5" s="72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770</v>
      </c>
      <c r="B6" s="18" t="s">
        <v>771</v>
      </c>
      <c r="C6" s="16" t="s">
        <v>772</v>
      </c>
      <c r="D6" s="5"/>
      <c r="E6" s="16" t="s">
        <v>773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8">
        <v>1</v>
      </c>
      <c r="B7" s="18" t="str">
        <f ca="1">IFERROR(__xludf.DUMMYFUNCTION("FILTER(Inbox_Data!F2:I1004,Inbox_Data!H2:H1004=""МСХП"")"),"Попов Д.")</f>
        <v>Попов Д.</v>
      </c>
      <c r="C7" s="67">
        <f ca="1">IFERROR(__xludf.DUMMYFUNCTION("""COMPUTED_VALUE"""),4.33)</f>
        <v>4.33</v>
      </c>
      <c r="D7" s="18" t="str">
        <f ca="1">IFERROR(__xludf.DUMMYFUNCTION("""COMPUTED_VALUE"""),"МСХП")</f>
        <v>МСХП</v>
      </c>
      <c r="E7" s="18" t="str">
        <f ca="1">IFERROR(__xludf.DUMMYFUNCTION("""COMPUTED_VALUE"""),"копия")</f>
        <v>копия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8">
        <v>2</v>
      </c>
      <c r="B8" s="18" t="str">
        <f ca="1">IFERROR(__xludf.DUMMYFUNCTION("""COMPUTED_VALUE"""),"Попов Р.")</f>
        <v>Попов Р.</v>
      </c>
      <c r="C8" s="67">
        <f ca="1">IFERROR(__xludf.DUMMYFUNCTION("""COMPUTED_VALUE"""),4.16)</f>
        <v>4.16</v>
      </c>
      <c r="D8" s="18" t="str">
        <f ca="1">IFERROR(__xludf.DUMMYFUNCTION("""COMPUTED_VALUE"""),"МСХП")</f>
        <v>МСХП</v>
      </c>
      <c r="E8" s="18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8">
        <v>3</v>
      </c>
      <c r="B9" s="18" t="str">
        <f ca="1">IFERROR(__xludf.DUMMYFUNCTION("""COMPUTED_VALUE"""),"Абдурахманова М.")</f>
        <v>Абдурахманова М.</v>
      </c>
      <c r="C9" s="67">
        <f ca="1">IFERROR(__xludf.DUMMYFUNCTION("""COMPUTED_VALUE"""),3.89)</f>
        <v>3.89</v>
      </c>
      <c r="D9" s="18" t="str">
        <f ca="1">IFERROR(__xludf.DUMMYFUNCTION("""COMPUTED_VALUE"""),"МСХП")</f>
        <v>МСХП</v>
      </c>
      <c r="E9" s="18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.75">
      <c r="A10" s="18">
        <v>4</v>
      </c>
      <c r="B10" s="18" t="str">
        <f ca="1">IFERROR(__xludf.DUMMYFUNCTION("""COMPUTED_VALUE"""),"Есева С. Н.")</f>
        <v>Есева С. Н.</v>
      </c>
      <c r="C10" s="67">
        <f ca="1">IFERROR(__xludf.DUMMYFUNCTION("""COMPUTED_VALUE"""),3.89)</f>
        <v>3.89</v>
      </c>
      <c r="D10" s="18" t="str">
        <f ca="1">IFERROR(__xludf.DUMMYFUNCTION("""COMPUTED_VALUE"""),"МСХП")</f>
        <v>МСХП</v>
      </c>
      <c r="E10" s="18" t="str">
        <f ca="1">IFERROR(__xludf.DUMMYFUNCTION("""COMPUTED_VALUE"""),"копия")</f>
        <v>копия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8">
        <v>5</v>
      </c>
      <c r="B11" s="18" t="str">
        <f ca="1">IFERROR(__xludf.DUMMYFUNCTION("""COMPUTED_VALUE"""),"Соловьев А.")</f>
        <v>Соловьев А.</v>
      </c>
      <c r="C11" s="67">
        <f ca="1">IFERROR(__xludf.DUMMYFUNCTION("""COMPUTED_VALUE"""),3.88)</f>
        <v>3.88</v>
      </c>
      <c r="D11" s="18" t="str">
        <f ca="1">IFERROR(__xludf.DUMMYFUNCTION("""COMPUTED_VALUE"""),"МСХП")</f>
        <v>МСХП</v>
      </c>
      <c r="E11" s="18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8">
        <v>6</v>
      </c>
      <c r="B12" s="18" t="str">
        <f ca="1">IFERROR(__xludf.DUMMYFUNCTION("""COMPUTED_VALUE"""),"Ветошкин Р.")</f>
        <v>Ветошкин Р.</v>
      </c>
      <c r="C12" s="67">
        <f ca="1">IFERROR(__xludf.DUMMYFUNCTION("""COMPUTED_VALUE"""),3.84)</f>
        <v>3.84</v>
      </c>
      <c r="D12" s="18" t="str">
        <f ca="1">IFERROR(__xludf.DUMMYFUNCTION("""COMPUTED_VALUE"""),"МСХП")</f>
        <v>МСХП</v>
      </c>
      <c r="E12" s="18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8">
        <v>7</v>
      </c>
      <c r="B13" s="18" t="str">
        <f ca="1">IFERROR(__xludf.DUMMYFUNCTION("""COMPUTED_VALUE"""),"Рябова Д.")</f>
        <v>Рябова Д.</v>
      </c>
      <c r="C13" s="67">
        <f ca="1">IFERROR(__xludf.DUMMYFUNCTION("""COMPUTED_VALUE"""),3.83)</f>
        <v>3.83</v>
      </c>
      <c r="D13" s="18" t="str">
        <f ca="1">IFERROR(__xludf.DUMMYFUNCTION("""COMPUTED_VALUE"""),"МСХП")</f>
        <v>МСХП</v>
      </c>
      <c r="E13" s="18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.75">
      <c r="A14" s="18">
        <v>8</v>
      </c>
      <c r="B14" s="18" t="str">
        <f ca="1">IFERROR(__xludf.DUMMYFUNCTION("""COMPUTED_VALUE"""),"Тоноян Г.")</f>
        <v>Тоноян Г.</v>
      </c>
      <c r="C14" s="67">
        <f ca="1">IFERROR(__xludf.DUMMYFUNCTION("""COMPUTED_VALUE"""),3.79)</f>
        <v>3.79</v>
      </c>
      <c r="D14" s="18" t="str">
        <f ca="1">IFERROR(__xludf.DUMMYFUNCTION("""COMPUTED_VALUE"""),"МСХП")</f>
        <v>МСХП</v>
      </c>
      <c r="E14" s="18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8">
        <v>9</v>
      </c>
      <c r="B15" s="18" t="str">
        <f ca="1">IFERROR(__xludf.DUMMYFUNCTION("""COMPUTED_VALUE"""),"Подоров К. Н.")</f>
        <v>Подоров К. Н.</v>
      </c>
      <c r="C15" s="67">
        <f ca="1">IFERROR(__xludf.DUMMYFUNCTION("""COMPUTED_VALUE"""),3.78)</f>
        <v>3.78</v>
      </c>
      <c r="D15" s="18" t="str">
        <f ca="1">IFERROR(__xludf.DUMMYFUNCTION("""COMPUTED_VALUE"""),"МСХП")</f>
        <v>МСХП</v>
      </c>
      <c r="E15" s="18" t="str">
        <f ca="1">IFERROR(__xludf.DUMMYFUNCTION("""COMPUTED_VALUE"""),"оригинал")</f>
        <v>оригинал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8">
        <v>10</v>
      </c>
      <c r="B16" s="18" t="str">
        <f ca="1">IFERROR(__xludf.DUMMYFUNCTION("""COMPUTED_VALUE"""),"Чернявский Н.")</f>
        <v>Чернявский Н.</v>
      </c>
      <c r="C16" s="67">
        <f ca="1">IFERROR(__xludf.DUMMYFUNCTION("""COMPUTED_VALUE"""),3.76)</f>
        <v>3.76</v>
      </c>
      <c r="D16" s="18" t="str">
        <f ca="1">IFERROR(__xludf.DUMMYFUNCTION("""COMPUTED_VALUE"""),"МСХП")</f>
        <v>МСХП</v>
      </c>
      <c r="E16" s="18" t="str">
        <f ca="1">IFERROR(__xludf.DUMMYFUNCTION("""COMPUTED_VALUE"""),"копия")</f>
        <v>копия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8">
        <v>11</v>
      </c>
      <c r="B17" s="18" t="str">
        <f ca="1">IFERROR(__xludf.DUMMYFUNCTION("""COMPUTED_VALUE"""),"Касева О.")</f>
        <v>Касева О.</v>
      </c>
      <c r="C17" s="67">
        <f ca="1">IFERROR(__xludf.DUMMYFUNCTION("""COMPUTED_VALUE"""),3.75)</f>
        <v>3.75</v>
      </c>
      <c r="D17" s="18" t="str">
        <f ca="1">IFERROR(__xludf.DUMMYFUNCTION("""COMPUTED_VALUE"""),"МСХП")</f>
        <v>МСХП</v>
      </c>
      <c r="E17" s="18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8">
        <v>12</v>
      </c>
      <c r="B18" s="18" t="str">
        <f ca="1">IFERROR(__xludf.DUMMYFUNCTION("""COMPUTED_VALUE"""),"Симаков М.П.")</f>
        <v>Симаков М.П.</v>
      </c>
      <c r="C18" s="67">
        <f ca="1">IFERROR(__xludf.DUMMYFUNCTION("""COMPUTED_VALUE"""),3.7)</f>
        <v>3.7</v>
      </c>
      <c r="D18" s="18" t="str">
        <f ca="1">IFERROR(__xludf.DUMMYFUNCTION("""COMPUTED_VALUE"""),"МСХП")</f>
        <v>МСХП</v>
      </c>
      <c r="E18" s="18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8">
        <v>13</v>
      </c>
      <c r="B19" s="18" t="str">
        <f ca="1">IFERROR(__xludf.DUMMYFUNCTION("""COMPUTED_VALUE"""),"Ушаков А. Н.")</f>
        <v>Ушаков А. Н.</v>
      </c>
      <c r="C19" s="67">
        <f ca="1">IFERROR(__xludf.DUMMYFUNCTION("""COMPUTED_VALUE"""),3.68)</f>
        <v>3.68</v>
      </c>
      <c r="D19" s="18" t="str">
        <f ca="1">IFERROR(__xludf.DUMMYFUNCTION("""COMPUTED_VALUE"""),"МСХП")</f>
        <v>МСХП</v>
      </c>
      <c r="E19" s="18" t="str">
        <f ca="1">IFERROR(__xludf.DUMMYFUNCTION("""COMPUTED_VALUE"""),"оригинал")</f>
        <v>оригинал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8">
        <v>14</v>
      </c>
      <c r="B20" s="18" t="str">
        <f ca="1">IFERROR(__xludf.DUMMYFUNCTION("""COMPUTED_VALUE"""),"Жеребцов В.")</f>
        <v>Жеребцов В.</v>
      </c>
      <c r="C20" s="67">
        <f ca="1">IFERROR(__xludf.DUMMYFUNCTION("""COMPUTED_VALUE"""),3.66)</f>
        <v>3.66</v>
      </c>
      <c r="D20" s="18" t="str">
        <f ca="1">IFERROR(__xludf.DUMMYFUNCTION("""COMPUTED_VALUE"""),"МСХП")</f>
        <v>МСХП</v>
      </c>
      <c r="E20" s="18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8">
        <v>15</v>
      </c>
      <c r="B21" s="18" t="str">
        <f ca="1">IFERROR(__xludf.DUMMYFUNCTION("""COMPUTED_VALUE"""),"Суворов Т.")</f>
        <v>Суворов Т.</v>
      </c>
      <c r="C21" s="67">
        <f ca="1">IFERROR(__xludf.DUMMYFUNCTION("""COMPUTED_VALUE"""),3.66)</f>
        <v>3.66</v>
      </c>
      <c r="D21" s="18" t="str">
        <f ca="1">IFERROR(__xludf.DUMMYFUNCTION("""COMPUTED_VALUE"""),"МСХП")</f>
        <v>МСХП</v>
      </c>
      <c r="E21" s="18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8">
        <v>16</v>
      </c>
      <c r="B22" s="18" t="str">
        <f ca="1">IFERROR(__xludf.DUMMYFUNCTION("""COMPUTED_VALUE"""),"Попова В.")</f>
        <v>Попова В.</v>
      </c>
      <c r="C22" s="67">
        <f ca="1">IFERROR(__xludf.DUMMYFUNCTION("""COMPUTED_VALUE"""),3.58)</f>
        <v>3.58</v>
      </c>
      <c r="D22" s="18" t="str">
        <f ca="1">IFERROR(__xludf.DUMMYFUNCTION("""COMPUTED_VALUE"""),"МСХП")</f>
        <v>МСХП</v>
      </c>
      <c r="E22" s="18" t="str">
        <f ca="1">IFERROR(__xludf.DUMMYFUNCTION("""COMPUTED_VALUE"""),"копия")</f>
        <v>копия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8">
        <v>17</v>
      </c>
      <c r="B23" s="18" t="str">
        <f ca="1">IFERROR(__xludf.DUMMYFUNCTION("""COMPUTED_VALUE"""),"Буторина С.")</f>
        <v>Буторина С.</v>
      </c>
      <c r="C23" s="67">
        <f ca="1">IFERROR(__xludf.DUMMYFUNCTION("""COMPUTED_VALUE"""),3.56)</f>
        <v>3.56</v>
      </c>
      <c r="D23" s="18" t="str">
        <f ca="1">IFERROR(__xludf.DUMMYFUNCTION("""COMPUTED_VALUE"""),"МСХП")</f>
        <v>МСХП</v>
      </c>
      <c r="E23" s="18" t="str">
        <f ca="1">IFERROR(__xludf.DUMMYFUNCTION("""COMPUTED_VALUE"""),"копия")</f>
        <v>копия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8">
        <v>18</v>
      </c>
      <c r="B24" s="18" t="str">
        <f ca="1">IFERROR(__xludf.DUMMYFUNCTION("""COMPUTED_VALUE"""),"Рассыхаева Д.")</f>
        <v>Рассыхаева Д.</v>
      </c>
      <c r="C24" s="67">
        <f ca="1">IFERROR(__xludf.DUMMYFUNCTION("""COMPUTED_VALUE"""),3.55)</f>
        <v>3.55</v>
      </c>
      <c r="D24" s="18" t="str">
        <f ca="1">IFERROR(__xludf.DUMMYFUNCTION("""COMPUTED_VALUE"""),"МСХП")</f>
        <v>МСХП</v>
      </c>
      <c r="E24" s="18" t="str">
        <f ca="1">IFERROR(__xludf.DUMMYFUNCTION("""COMPUTED_VALUE"""),"копия")</f>
        <v>копия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8">
        <v>19</v>
      </c>
      <c r="B25" s="18" t="str">
        <f ca="1">IFERROR(__xludf.DUMMYFUNCTION("""COMPUTED_VALUE"""),"Генералов М.")</f>
        <v>Генералов М.</v>
      </c>
      <c r="C25" s="67">
        <f ca="1">IFERROR(__xludf.DUMMYFUNCTION("""COMPUTED_VALUE"""),3.53)</f>
        <v>3.53</v>
      </c>
      <c r="D25" s="18" t="str">
        <f ca="1">IFERROR(__xludf.DUMMYFUNCTION("""COMPUTED_VALUE"""),"МСХП")</f>
        <v>МСХП</v>
      </c>
      <c r="E25" s="18" t="str">
        <f ca="1">IFERROR(__xludf.DUMMYFUNCTION("""COMPUTED_VALUE"""),"копия")</f>
        <v>копия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8">
        <v>20</v>
      </c>
      <c r="B26" s="18" t="str">
        <f ca="1">IFERROR(__xludf.DUMMYFUNCTION("""COMPUTED_VALUE"""),"Семенова Ю.")</f>
        <v>Семенова Ю.</v>
      </c>
      <c r="C26" s="67">
        <f ca="1">IFERROR(__xludf.DUMMYFUNCTION("""COMPUTED_VALUE"""),3.53)</f>
        <v>3.53</v>
      </c>
      <c r="D26" s="18" t="str">
        <f ca="1">IFERROR(__xludf.DUMMYFUNCTION("""COMPUTED_VALUE"""),"МСХП")</f>
        <v>МСХП</v>
      </c>
      <c r="E26" s="18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8">
        <v>21</v>
      </c>
      <c r="B27" s="18" t="str">
        <f ca="1">IFERROR(__xludf.DUMMYFUNCTION("""COMPUTED_VALUE"""),"Шпульгин А.")</f>
        <v>Шпульгин А.</v>
      </c>
      <c r="C27" s="67">
        <f ca="1">IFERROR(__xludf.DUMMYFUNCTION("""COMPUTED_VALUE"""),3.52)</f>
        <v>3.52</v>
      </c>
      <c r="D27" s="18" t="str">
        <f ca="1">IFERROR(__xludf.DUMMYFUNCTION("""COMPUTED_VALUE"""),"МСХП")</f>
        <v>МСХП</v>
      </c>
      <c r="E27" s="18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8">
        <v>22</v>
      </c>
      <c r="B28" s="18" t="str">
        <f ca="1">IFERROR(__xludf.DUMMYFUNCTION("""COMPUTED_VALUE"""),"Рассыхаева К.")</f>
        <v>Рассыхаева К.</v>
      </c>
      <c r="C28" s="67">
        <f ca="1">IFERROR(__xludf.DUMMYFUNCTION("""COMPUTED_VALUE"""),3.52)</f>
        <v>3.52</v>
      </c>
      <c r="D28" s="18" t="str">
        <f ca="1">IFERROR(__xludf.DUMMYFUNCTION("""COMPUTED_VALUE"""),"МСХП")</f>
        <v>МСХП</v>
      </c>
      <c r="E28" s="18" t="str">
        <f ca="1">IFERROR(__xludf.DUMMYFUNCTION("""COMPUTED_VALUE"""),"оригинал ")</f>
        <v xml:space="preserve">оригинал 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8">
        <v>23</v>
      </c>
      <c r="B29" s="18" t="str">
        <f ca="1">IFERROR(__xludf.DUMMYFUNCTION("""COMPUTED_VALUE"""),"Ипатов Д.")</f>
        <v>Ипатов Д.</v>
      </c>
      <c r="C29" s="18">
        <f ca="1">IFERROR(__xludf.DUMMYFUNCTION("""COMPUTED_VALUE"""),3.5)</f>
        <v>3.5</v>
      </c>
      <c r="D29" s="18" t="str">
        <f ca="1">IFERROR(__xludf.DUMMYFUNCTION("""COMPUTED_VALUE"""),"МСХП")</f>
        <v>МСХП</v>
      </c>
      <c r="E29" s="18" t="str">
        <f ca="1">IFERROR(__xludf.DUMMYFUNCTION("""COMPUTED_VALUE"""),"копия")</f>
        <v>копия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8">
        <v>24</v>
      </c>
      <c r="B30" s="18" t="str">
        <f ca="1">IFERROR(__xludf.DUMMYFUNCTION("""COMPUTED_VALUE"""),"Изъюров Н. Д.")</f>
        <v>Изъюров Н. Д.</v>
      </c>
      <c r="C30" s="67">
        <f ca="1">IFERROR(__xludf.DUMMYFUNCTION("""COMPUTED_VALUE"""),3.5)</f>
        <v>3.5</v>
      </c>
      <c r="D30" s="18" t="str">
        <f ca="1">IFERROR(__xludf.DUMMYFUNCTION("""COMPUTED_VALUE"""),"МСХП")</f>
        <v>МСХП</v>
      </c>
      <c r="E30" s="18" t="str">
        <f ca="1">IFERROR(__xludf.DUMMYFUNCTION("""COMPUTED_VALUE"""),"оригинал")</f>
        <v>оригинал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8">
        <v>25</v>
      </c>
      <c r="B31" s="18" t="str">
        <f ca="1">IFERROR(__xludf.DUMMYFUNCTION("""COMPUTED_VALUE"""),"Жижева Е.")</f>
        <v>Жижева Е.</v>
      </c>
      <c r="C31" s="67">
        <f ca="1">IFERROR(__xludf.DUMMYFUNCTION("""COMPUTED_VALUE"""),3.47)</f>
        <v>3.47</v>
      </c>
      <c r="D31" s="18" t="str">
        <f ca="1">IFERROR(__xludf.DUMMYFUNCTION("""COMPUTED_VALUE"""),"МСХП")</f>
        <v>МСХП</v>
      </c>
      <c r="E31" s="18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8">
        <v>26</v>
      </c>
      <c r="B32" s="18" t="str">
        <f ca="1">IFERROR(__xludf.DUMMYFUNCTION("""COMPUTED_VALUE"""),"Мазурчик 
 А.")</f>
        <v>Мазурчик 
 А.</v>
      </c>
      <c r="C32" s="67">
        <f ca="1">IFERROR(__xludf.DUMMYFUNCTION("""COMPUTED_VALUE"""),3.44)</f>
        <v>3.44</v>
      </c>
      <c r="D32" s="18" t="str">
        <f ca="1">IFERROR(__xludf.DUMMYFUNCTION("""COMPUTED_VALUE"""),"МСХП")</f>
        <v>МСХП</v>
      </c>
      <c r="E32" s="18" t="str">
        <f ca="1">IFERROR(__xludf.DUMMYFUNCTION("""COMPUTED_VALUE"""),"копия")</f>
        <v>копия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18">
        <v>27</v>
      </c>
      <c r="B33" s="18" t="str">
        <f ca="1">IFERROR(__xludf.DUMMYFUNCTION("""COMPUTED_VALUE"""),"Митюков А. А.")</f>
        <v>Митюков А. А.</v>
      </c>
      <c r="C33" s="67">
        <f ca="1">IFERROR(__xludf.DUMMYFUNCTION("""COMPUTED_VALUE"""),3.44)</f>
        <v>3.44</v>
      </c>
      <c r="D33" s="18" t="str">
        <f ca="1">IFERROR(__xludf.DUMMYFUNCTION("""COMPUTED_VALUE"""),"МСХП")</f>
        <v>МСХП</v>
      </c>
      <c r="E33" s="18" t="str">
        <f ca="1">IFERROR(__xludf.DUMMYFUNCTION("""COMPUTED_VALUE"""),"оригинал")</f>
        <v>оригинал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6" ht="13.5" customHeight="1">
      <c r="A34" s="18">
        <v>28</v>
      </c>
      <c r="B34" s="18" t="str">
        <f ca="1">IFERROR(__xludf.DUMMYFUNCTION("""COMPUTED_VALUE"""),"Попов Р.")</f>
        <v>Попов Р.</v>
      </c>
      <c r="C34" s="67">
        <f ca="1">IFERROR(__xludf.DUMMYFUNCTION("""COMPUTED_VALUE"""),3.42)</f>
        <v>3.42</v>
      </c>
      <c r="D34" s="18" t="str">
        <f ca="1">IFERROR(__xludf.DUMMYFUNCTION("""COMPUTED_VALUE"""),"МСХП")</f>
        <v>МСХП</v>
      </c>
      <c r="E34" s="18" t="str">
        <f ca="1">IFERROR(__xludf.DUMMYFUNCTION("""COMPUTED_VALUE"""),"копия")</f>
        <v>копия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>
      <c r="A35" s="18">
        <v>29</v>
      </c>
      <c r="B35" s="18" t="str">
        <f ca="1">IFERROR(__xludf.DUMMYFUNCTION("""COMPUTED_VALUE"""),"Мальцев М.В.")</f>
        <v>Мальцев М.В.</v>
      </c>
      <c r="C35" s="67">
        <f ca="1">IFERROR(__xludf.DUMMYFUNCTION("""COMPUTED_VALUE"""),3.42)</f>
        <v>3.42</v>
      </c>
      <c r="D35" s="18" t="str">
        <f ca="1">IFERROR(__xludf.DUMMYFUNCTION("""COMPUTED_VALUE"""),"МСХП")</f>
        <v>МСХП</v>
      </c>
      <c r="E35" s="18" t="str">
        <f ca="1">IFERROR(__xludf.DUMMYFUNCTION("""COMPUTED_VALUE"""),"копия")</f>
        <v>копия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>
      <c r="A36" s="18">
        <v>30</v>
      </c>
      <c r="B36" s="18" t="str">
        <f ca="1">IFERROR(__xludf.DUMMYFUNCTION("""COMPUTED_VALUE"""),"Максимов В.")</f>
        <v>Максимов В.</v>
      </c>
      <c r="C36" s="67">
        <f ca="1">IFERROR(__xludf.DUMMYFUNCTION("""COMPUTED_VALUE"""),3.4)</f>
        <v>3.4</v>
      </c>
      <c r="D36" s="18" t="str">
        <f ca="1">IFERROR(__xludf.DUMMYFUNCTION("""COMPUTED_VALUE"""),"МСХП")</f>
        <v>МСХП</v>
      </c>
      <c r="E36" s="18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>
      <c r="A37" s="18">
        <v>31</v>
      </c>
      <c r="B37" s="18" t="str">
        <f ca="1">IFERROR(__xludf.DUMMYFUNCTION("""COMPUTED_VALUE"""),"Балабаев А.")</f>
        <v>Балабаев А.</v>
      </c>
      <c r="C37" s="67">
        <f ca="1">IFERROR(__xludf.DUMMYFUNCTION("""COMPUTED_VALUE"""),3.4)</f>
        <v>3.4</v>
      </c>
      <c r="D37" s="18" t="str">
        <f ca="1">IFERROR(__xludf.DUMMYFUNCTION("""COMPUTED_VALUE"""),"МСХП")</f>
        <v>МСХП</v>
      </c>
      <c r="E37" s="18" t="str">
        <f ca="1">IFERROR(__xludf.DUMMYFUNCTION("""COMPUTED_VALUE"""),"оригинал")</f>
        <v>оригинал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6" ht="13.5" customHeight="1">
      <c r="A38" s="18">
        <v>32</v>
      </c>
      <c r="B38" s="18" t="str">
        <f ca="1">IFERROR(__xludf.DUMMYFUNCTION("""COMPUTED_VALUE"""),"Юцкевич Е. В.")</f>
        <v>Юцкевич Е. В.</v>
      </c>
      <c r="C38" s="67">
        <f ca="1">IFERROR(__xludf.DUMMYFUNCTION("""COMPUTED_VALUE"""),3.4)</f>
        <v>3.4</v>
      </c>
      <c r="D38" s="18" t="str">
        <f ca="1">IFERROR(__xludf.DUMMYFUNCTION("""COMPUTED_VALUE"""),"МСХП")</f>
        <v>МСХП</v>
      </c>
      <c r="E38" s="18" t="str">
        <f ca="1">IFERROR(__xludf.DUMMYFUNCTION("""COMPUTED_VALUE"""),"копия")</f>
        <v>копия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6" ht="13.5" customHeight="1">
      <c r="A39" s="18">
        <v>33</v>
      </c>
      <c r="B39" s="18" t="str">
        <f ca="1">IFERROR(__xludf.DUMMYFUNCTION("""COMPUTED_VALUE"""),"Нурмухаматов
 К. И.")</f>
        <v>Нурмухаматов
 К. И.</v>
      </c>
      <c r="C39" s="18">
        <f ca="1">IFERROR(__xludf.DUMMYFUNCTION("""COMPUTED_VALUE"""),3.4)</f>
        <v>3.4</v>
      </c>
      <c r="D39" s="18" t="str">
        <f ca="1">IFERROR(__xludf.DUMMYFUNCTION("""COMPUTED_VALUE"""),"МСХП")</f>
        <v>МСХП</v>
      </c>
      <c r="E39" s="18" t="str">
        <f ca="1">IFERROR(__xludf.DUMMYFUNCTION("""COMPUTED_VALUE"""),"оригинал")</f>
        <v>оригинал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6" ht="13.5" customHeight="1">
      <c r="A40" s="18">
        <v>34</v>
      </c>
      <c r="B40" s="18" t="str">
        <f ca="1">IFERROR(__xludf.DUMMYFUNCTION("""COMPUTED_VALUE"""),"Чабанов С.")</f>
        <v>Чабанов С.</v>
      </c>
      <c r="C40" s="67">
        <f ca="1">IFERROR(__xludf.DUMMYFUNCTION("""COMPUTED_VALUE"""),3.39)</f>
        <v>3.39</v>
      </c>
      <c r="D40" s="18" t="str">
        <f ca="1">IFERROR(__xludf.DUMMYFUNCTION("""COMPUTED_VALUE"""),"МСХП")</f>
        <v>МСХП</v>
      </c>
      <c r="E40" s="18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6" ht="13.5" customHeight="1">
      <c r="A41" s="18">
        <v>35</v>
      </c>
      <c r="B41" s="18" t="str">
        <f ca="1">IFERROR(__xludf.DUMMYFUNCTION("""COMPUTED_VALUE"""),"Булатов В.")</f>
        <v>Булатов В.</v>
      </c>
      <c r="C41" s="67">
        <f ca="1">IFERROR(__xludf.DUMMYFUNCTION("""COMPUTED_VALUE"""),3.38)</f>
        <v>3.38</v>
      </c>
      <c r="D41" s="18" t="str">
        <f ca="1">IFERROR(__xludf.DUMMYFUNCTION("""COMPUTED_VALUE"""),"МСХП")</f>
        <v>МСХП</v>
      </c>
      <c r="E41" s="18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6" ht="13.5" customHeight="1">
      <c r="A42" s="18">
        <v>36</v>
      </c>
      <c r="B42" s="18" t="str">
        <f ca="1">IFERROR(__xludf.DUMMYFUNCTION("""COMPUTED_VALUE"""),"Мишарин М.")</f>
        <v>Мишарин М.</v>
      </c>
      <c r="C42" s="67">
        <f ca="1">IFERROR(__xludf.DUMMYFUNCTION("""COMPUTED_VALUE"""),3.36)</f>
        <v>3.36</v>
      </c>
      <c r="D42" s="18" t="str">
        <f ca="1">IFERROR(__xludf.DUMMYFUNCTION("""COMPUTED_VALUE"""),"МСХП")</f>
        <v>МСХП</v>
      </c>
      <c r="E42" s="18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6" ht="13.5" customHeight="1">
      <c r="A43" s="18">
        <v>37</v>
      </c>
      <c r="B43" s="18" t="str">
        <f ca="1">IFERROR(__xludf.DUMMYFUNCTION("""COMPUTED_VALUE"""),"Ракин Д.")</f>
        <v>Ракин Д.</v>
      </c>
      <c r="C43" s="67">
        <f ca="1">IFERROR(__xludf.DUMMYFUNCTION("""COMPUTED_VALUE"""),3.36)</f>
        <v>3.36</v>
      </c>
      <c r="D43" s="18" t="str">
        <f ca="1">IFERROR(__xludf.DUMMYFUNCTION("""COMPUTED_VALUE"""),"МСХП")</f>
        <v>МСХП</v>
      </c>
      <c r="E43" s="18" t="str">
        <f ca="1">IFERROR(__xludf.DUMMYFUNCTION("""COMPUTED_VALUE"""),"копия")</f>
        <v>копия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6" ht="13.5" customHeight="1">
      <c r="A44" s="18">
        <v>38</v>
      </c>
      <c r="B44" s="18" t="str">
        <f ca="1">IFERROR(__xludf.DUMMYFUNCTION("""COMPUTED_VALUE"""),"Понамарева А.")</f>
        <v>Понамарева А.</v>
      </c>
      <c r="C44" s="67">
        <f ca="1">IFERROR(__xludf.DUMMYFUNCTION("""COMPUTED_VALUE"""),3.35)</f>
        <v>3.35</v>
      </c>
      <c r="D44" s="18" t="str">
        <f ca="1">IFERROR(__xludf.DUMMYFUNCTION("""COMPUTED_VALUE"""),"МСХП")</f>
        <v>МСХП</v>
      </c>
      <c r="E44" s="18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6" ht="13.5" customHeight="1">
      <c r="A45" s="18">
        <v>39</v>
      </c>
      <c r="B45" s="18" t="str">
        <f ca="1">IFERROR(__xludf.DUMMYFUNCTION("""COMPUTED_VALUE"""),"Артаманов А.")</f>
        <v>Артаманов А.</v>
      </c>
      <c r="C45" s="67">
        <f ca="1">IFERROR(__xludf.DUMMYFUNCTION("""COMPUTED_VALUE"""),3.35)</f>
        <v>3.35</v>
      </c>
      <c r="D45" s="18" t="str">
        <f ca="1">IFERROR(__xludf.DUMMYFUNCTION("""COMPUTED_VALUE"""),"МСХП")</f>
        <v>МСХП</v>
      </c>
      <c r="E45" s="18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6" ht="13.5" customHeight="1">
      <c r="A46" s="18">
        <v>40</v>
      </c>
      <c r="B46" s="18" t="str">
        <f ca="1">IFERROR(__xludf.DUMMYFUNCTION("""COMPUTED_VALUE"""),"Сердитов
 Д.")</f>
        <v>Сердитов
 Д.</v>
      </c>
      <c r="C46" s="67">
        <f ca="1">IFERROR(__xludf.DUMMYFUNCTION("""COMPUTED_VALUE"""),3.35)</f>
        <v>3.35</v>
      </c>
      <c r="D46" s="18" t="str">
        <f ca="1">IFERROR(__xludf.DUMMYFUNCTION("""COMPUTED_VALUE"""),"МСХП")</f>
        <v>МСХП</v>
      </c>
      <c r="E46" s="18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6" ht="13.5" customHeight="1">
      <c r="A47" s="18">
        <v>41</v>
      </c>
      <c r="B47" s="18" t="str">
        <f ca="1">IFERROR(__xludf.DUMMYFUNCTION("""COMPUTED_VALUE"""),"Торопов Т.")</f>
        <v>Торопов Т.</v>
      </c>
      <c r="C47" s="67">
        <f ca="1">IFERROR(__xludf.DUMMYFUNCTION("""COMPUTED_VALUE"""),3.35)</f>
        <v>3.35</v>
      </c>
      <c r="D47" s="18" t="str">
        <f ca="1">IFERROR(__xludf.DUMMYFUNCTION("""COMPUTED_VALUE"""),"МСХП")</f>
        <v>МСХП</v>
      </c>
      <c r="E47" s="18" t="str">
        <f ca="1">IFERROR(__xludf.DUMMYFUNCTION("""COMPUTED_VALUE"""),"копия")</f>
        <v>копия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6" ht="13.5" customHeight="1">
      <c r="A48" s="18">
        <v>42</v>
      </c>
      <c r="B48" s="18" t="str">
        <f ca="1">IFERROR(__xludf.DUMMYFUNCTION("""COMPUTED_VALUE"""),"Артамонов А. И.")</f>
        <v>Артамонов А. И.</v>
      </c>
      <c r="C48" s="67">
        <f ca="1">IFERROR(__xludf.DUMMYFUNCTION("""COMPUTED_VALUE"""),3.35)</f>
        <v>3.35</v>
      </c>
      <c r="D48" s="18" t="str">
        <f ca="1">IFERROR(__xludf.DUMMYFUNCTION("""COMPUTED_VALUE"""),"МСХП")</f>
        <v>МСХП</v>
      </c>
      <c r="E48" s="18" t="str">
        <f ca="1">IFERROR(__xludf.DUMMYFUNCTION("""COMPUTED_VALUE"""),"оригинал")</f>
        <v>оригинал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18">
        <v>43</v>
      </c>
      <c r="B49" s="18" t="str">
        <f ca="1">IFERROR(__xludf.DUMMYFUNCTION("""COMPUTED_VALUE"""),"Попов В.")</f>
        <v>Попов В.</v>
      </c>
      <c r="C49" s="67">
        <f ca="1">IFERROR(__xludf.DUMMYFUNCTION("""COMPUTED_VALUE"""),3.34)</f>
        <v>3.34</v>
      </c>
      <c r="D49" s="18" t="str">
        <f ca="1">IFERROR(__xludf.DUMMYFUNCTION("""COMPUTED_VALUE"""),"МСХП")</f>
        <v>МСХП</v>
      </c>
      <c r="E49" s="18" t="str">
        <f ca="1">IFERROR(__xludf.DUMMYFUNCTION("""COMPUTED_VALUE"""),"оригинал")</f>
        <v>оригинал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18">
        <v>44</v>
      </c>
      <c r="B50" s="18" t="str">
        <f ca="1">IFERROR(__xludf.DUMMYFUNCTION("""COMPUTED_VALUE"""),"Эчишвили Б.")</f>
        <v>Эчишвили Б.</v>
      </c>
      <c r="C50" s="67">
        <f ca="1">IFERROR(__xludf.DUMMYFUNCTION("""COMPUTED_VALUE"""),3.33)</f>
        <v>3.33</v>
      </c>
      <c r="D50" s="18" t="str">
        <f ca="1">IFERROR(__xludf.DUMMYFUNCTION("""COMPUTED_VALUE"""),"МСХП")</f>
        <v>МСХП</v>
      </c>
      <c r="E50" s="18" t="str">
        <f ca="1">IFERROR(__xludf.DUMMYFUNCTION("""COMPUTED_VALUE"""),"оригинал ")</f>
        <v xml:space="preserve">оригинал 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18">
        <v>45</v>
      </c>
      <c r="B51" s="18" t="str">
        <f ca="1">IFERROR(__xludf.DUMMYFUNCTION("""COMPUTED_VALUE"""),"Манзадей В.")</f>
        <v>Манзадей В.</v>
      </c>
      <c r="C51" s="67">
        <f ca="1">IFERROR(__xludf.DUMMYFUNCTION("""COMPUTED_VALUE"""),3.33)</f>
        <v>3.33</v>
      </c>
      <c r="D51" s="18" t="str">
        <f ca="1">IFERROR(__xludf.DUMMYFUNCTION("""COMPUTED_VALUE"""),"МСХП")</f>
        <v>МСХП</v>
      </c>
      <c r="E51" s="18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18">
        <v>46</v>
      </c>
      <c r="B52" s="18" t="str">
        <f ca="1">IFERROR(__xludf.DUMMYFUNCTION("""COMPUTED_VALUE"""),"Шемпелев Р. В.")</f>
        <v>Шемпелев Р. В.</v>
      </c>
      <c r="C52" s="67">
        <f ca="1">IFERROR(__xludf.DUMMYFUNCTION("""COMPUTED_VALUE"""),3.33)</f>
        <v>3.33</v>
      </c>
      <c r="D52" s="18" t="str">
        <f ca="1">IFERROR(__xludf.DUMMYFUNCTION("""COMPUTED_VALUE"""),"МСХП")</f>
        <v>МСХП</v>
      </c>
      <c r="E52" s="18" t="str">
        <f ca="1">IFERROR(__xludf.DUMMYFUNCTION("""COMPUTED_VALUE"""),"оригинал")</f>
        <v>оригинал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18">
        <v>47</v>
      </c>
      <c r="B53" s="18" t="str">
        <f ca="1">IFERROR(__xludf.DUMMYFUNCTION("""COMPUTED_VALUE"""),"Кинев И.")</f>
        <v>Кинев И.</v>
      </c>
      <c r="C53" s="67">
        <f ca="1">IFERROR(__xludf.DUMMYFUNCTION("""COMPUTED_VALUE"""),3.32)</f>
        <v>3.32</v>
      </c>
      <c r="D53" s="18" t="str">
        <f ca="1">IFERROR(__xludf.DUMMYFUNCTION("""COMPUTED_VALUE"""),"МСХП")</f>
        <v>МСХП</v>
      </c>
      <c r="E53" s="18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18">
        <v>48</v>
      </c>
      <c r="B54" s="18" t="str">
        <f ca="1">IFERROR(__xludf.DUMMYFUNCTION("""COMPUTED_VALUE"""),"Молокова С.")</f>
        <v>Молокова С.</v>
      </c>
      <c r="C54" s="67">
        <f ca="1">IFERROR(__xludf.DUMMYFUNCTION("""COMPUTED_VALUE"""),3.32)</f>
        <v>3.32</v>
      </c>
      <c r="D54" s="18" t="str">
        <f ca="1">IFERROR(__xludf.DUMMYFUNCTION("""COMPUTED_VALUE"""),"МСХП")</f>
        <v>МСХП</v>
      </c>
      <c r="E54" s="18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18">
        <v>49</v>
      </c>
      <c r="B55" s="18" t="str">
        <f ca="1">IFERROR(__xludf.DUMMYFUNCTION("""COMPUTED_VALUE"""),"Чукрин К.")</f>
        <v>Чукрин К.</v>
      </c>
      <c r="C55" s="67">
        <f ca="1">IFERROR(__xludf.DUMMYFUNCTION("""COMPUTED_VALUE"""),3.32)</f>
        <v>3.32</v>
      </c>
      <c r="D55" s="18" t="str">
        <f ca="1">IFERROR(__xludf.DUMMYFUNCTION("""COMPUTED_VALUE"""),"МСХП")</f>
        <v>МСХП</v>
      </c>
      <c r="E55" s="18" t="str">
        <f ca="1">IFERROR(__xludf.DUMMYFUNCTION("""COMPUTED_VALUE"""),"оригинал")</f>
        <v>оригинал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18">
        <v>50</v>
      </c>
      <c r="B56" s="18" t="str">
        <f ca="1">IFERROR(__xludf.DUMMYFUNCTION("""COMPUTED_VALUE"""),"Ларуков А.")</f>
        <v>Ларуков А.</v>
      </c>
      <c r="C56" s="67">
        <f ca="1">IFERROR(__xludf.DUMMYFUNCTION("""COMPUTED_VALUE"""),3.32)</f>
        <v>3.32</v>
      </c>
      <c r="D56" s="18" t="str">
        <f ca="1">IFERROR(__xludf.DUMMYFUNCTION("""COMPUTED_VALUE"""),"МСХП")</f>
        <v>МСХП</v>
      </c>
      <c r="E56" s="18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18">
        <v>51</v>
      </c>
      <c r="B57" s="18" t="str">
        <f ca="1">IFERROR(__xludf.DUMMYFUNCTION("""COMPUTED_VALUE"""),"Ракитин С. О.")</f>
        <v>Ракитин С. О.</v>
      </c>
      <c r="C57" s="67">
        <f ca="1">IFERROR(__xludf.DUMMYFUNCTION("""COMPUTED_VALUE"""),3.32)</f>
        <v>3.32</v>
      </c>
      <c r="D57" s="18" t="str">
        <f ca="1">IFERROR(__xludf.DUMMYFUNCTION("""COMPUTED_VALUE"""),"МСХП")</f>
        <v>МСХП</v>
      </c>
      <c r="E57" s="18" t="str">
        <f ca="1">IFERROR(__xludf.DUMMYFUNCTION("""COMPUTED_VALUE"""),"оригинал")</f>
        <v>оригинал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18">
        <v>52</v>
      </c>
      <c r="B58" s="18" t="str">
        <f ca="1">IFERROR(__xludf.DUMMYFUNCTION("""COMPUTED_VALUE"""),"Строю К.")</f>
        <v>Строю К.</v>
      </c>
      <c r="C58" s="67">
        <f ca="1">IFERROR(__xludf.DUMMYFUNCTION("""COMPUTED_VALUE"""),3.31)</f>
        <v>3.31</v>
      </c>
      <c r="D58" s="18" t="str">
        <f ca="1">IFERROR(__xludf.DUMMYFUNCTION("""COMPUTED_VALUE"""),"МСХП")</f>
        <v>МСХП</v>
      </c>
      <c r="E58" s="18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18">
        <v>53</v>
      </c>
      <c r="B59" s="18" t="str">
        <f ca="1">IFERROR(__xludf.DUMMYFUNCTION("""COMPUTED_VALUE"""),"Маркозашвили Г. Н.")</f>
        <v>Маркозашвили Г. Н.</v>
      </c>
      <c r="C59" s="67">
        <f ca="1">IFERROR(__xludf.DUMMYFUNCTION("""COMPUTED_VALUE"""),3.31)</f>
        <v>3.31</v>
      </c>
      <c r="D59" s="18" t="str">
        <f ca="1">IFERROR(__xludf.DUMMYFUNCTION("""COMPUTED_VALUE"""),"МСХП")</f>
        <v>МСХП</v>
      </c>
      <c r="E59" s="18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18">
        <v>54</v>
      </c>
      <c r="B60" s="18" t="str">
        <f ca="1">IFERROR(__xludf.DUMMYFUNCTION("""COMPUTED_VALUE"""),"Кувыркина В.")</f>
        <v>Кувыркина В.</v>
      </c>
      <c r="C60" s="67">
        <f ca="1">IFERROR(__xludf.DUMMYFUNCTION("""COMPUTED_VALUE"""),3.28)</f>
        <v>3.28</v>
      </c>
      <c r="D60" s="18" t="str">
        <f ca="1">IFERROR(__xludf.DUMMYFUNCTION("""COMPUTED_VALUE"""),"МСХП")</f>
        <v>МСХП</v>
      </c>
      <c r="E60" s="18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18">
        <v>55</v>
      </c>
      <c r="B61" s="18" t="str">
        <f ca="1">IFERROR(__xludf.DUMMYFUNCTION("""COMPUTED_VALUE"""),"Ануфриев З.")</f>
        <v>Ануфриев З.</v>
      </c>
      <c r="C61" s="67">
        <f ca="1">IFERROR(__xludf.DUMMYFUNCTION("""COMPUTED_VALUE"""),3.27)</f>
        <v>3.27</v>
      </c>
      <c r="D61" s="18" t="str">
        <f ca="1">IFERROR(__xludf.DUMMYFUNCTION("""COMPUTED_VALUE"""),"МСХП")</f>
        <v>МСХП</v>
      </c>
      <c r="E61" s="18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18">
        <v>56</v>
      </c>
      <c r="B62" s="18" t="str">
        <f ca="1">IFERROR(__xludf.DUMMYFUNCTION("""COMPUTED_VALUE"""),"Старцев А.")</f>
        <v>Старцев А.</v>
      </c>
      <c r="C62" s="67">
        <f ca="1">IFERROR(__xludf.DUMMYFUNCTION("""COMPUTED_VALUE"""),3.26)</f>
        <v>3.26</v>
      </c>
      <c r="D62" s="18" t="str">
        <f ca="1">IFERROR(__xludf.DUMMYFUNCTION("""COMPUTED_VALUE"""),"МСХП")</f>
        <v>МСХП</v>
      </c>
      <c r="E62" s="18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18">
        <v>57</v>
      </c>
      <c r="B63" s="18" t="str">
        <f ca="1">IFERROR(__xludf.DUMMYFUNCTION("""COMPUTED_VALUE"""),"Сапелкин И.")</f>
        <v>Сапелкин И.</v>
      </c>
      <c r="C63" s="67">
        <f ca="1">IFERROR(__xludf.DUMMYFUNCTION("""COMPUTED_VALUE"""),3.26)</f>
        <v>3.26</v>
      </c>
      <c r="D63" s="18" t="str">
        <f ca="1">IFERROR(__xludf.DUMMYFUNCTION("""COMPUTED_VALUE"""),"МСХП")</f>
        <v>МСХП</v>
      </c>
      <c r="E63" s="18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18">
        <v>58</v>
      </c>
      <c r="B64" s="18" t="str">
        <f ca="1">IFERROR(__xludf.DUMMYFUNCTION("""COMPUTED_VALUE"""),"Румянцев Д.")</f>
        <v>Румянцев Д.</v>
      </c>
      <c r="C64" s="67">
        <f ca="1">IFERROR(__xludf.DUMMYFUNCTION("""COMPUTED_VALUE"""),3.25)</f>
        <v>3.25</v>
      </c>
      <c r="D64" s="18" t="str">
        <f ca="1">IFERROR(__xludf.DUMMYFUNCTION("""COMPUTED_VALUE"""),"МСХП")</f>
        <v>МСХП</v>
      </c>
      <c r="E64" s="18" t="str">
        <f ca="1">IFERROR(__xludf.DUMMYFUNCTION("""COMPUTED_VALUE"""),"оригинал ")</f>
        <v xml:space="preserve">оригинал 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18">
        <v>59</v>
      </c>
      <c r="B65" s="18" t="str">
        <f ca="1">IFERROR(__xludf.DUMMYFUNCTION("""COMPUTED_VALUE"""),"Литвиненко И.")</f>
        <v>Литвиненко И.</v>
      </c>
      <c r="C65" s="67">
        <f ca="1">IFERROR(__xludf.DUMMYFUNCTION("""COMPUTED_VALUE"""),3.23)</f>
        <v>3.23</v>
      </c>
      <c r="D65" s="18" t="str">
        <f ca="1">IFERROR(__xludf.DUMMYFUNCTION("""COMPUTED_VALUE"""),"МСХП")</f>
        <v>МСХП</v>
      </c>
      <c r="E65" s="18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18">
        <v>60</v>
      </c>
      <c r="B66" s="18" t="str">
        <f ca="1">IFERROR(__xludf.DUMMYFUNCTION("""COMPUTED_VALUE"""),"Просужих Н.")</f>
        <v>Просужих Н.</v>
      </c>
      <c r="C66" s="67">
        <f ca="1">IFERROR(__xludf.DUMMYFUNCTION("""COMPUTED_VALUE"""),3.22)</f>
        <v>3.22</v>
      </c>
      <c r="D66" s="18" t="str">
        <f ca="1">IFERROR(__xludf.DUMMYFUNCTION("""COMPUTED_VALUE"""),"МСХП")</f>
        <v>МСХП</v>
      </c>
      <c r="E66" s="18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18">
        <v>61</v>
      </c>
      <c r="B67" s="18" t="str">
        <f ca="1">IFERROR(__xludf.DUMMYFUNCTION("""COMPUTED_VALUE"""),"Добров Б.")</f>
        <v>Добров Б.</v>
      </c>
      <c r="C67" s="67">
        <f ca="1">IFERROR(__xludf.DUMMYFUNCTION("""COMPUTED_VALUE"""),3.22)</f>
        <v>3.22</v>
      </c>
      <c r="D67" s="18" t="str">
        <f ca="1">IFERROR(__xludf.DUMMYFUNCTION("""COMPUTED_VALUE"""),"МСХП")</f>
        <v>МСХП</v>
      </c>
      <c r="E67" s="18" t="str">
        <f ca="1">IFERROR(__xludf.DUMMYFUNCTION("""COMPUTED_VALUE"""),"копия")</f>
        <v>копия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18">
        <v>62</v>
      </c>
      <c r="B68" s="18" t="str">
        <f ca="1">IFERROR(__xludf.DUMMYFUNCTION("""COMPUTED_VALUE"""),"Попова Д.")</f>
        <v>Попова Д.</v>
      </c>
      <c r="C68" s="67">
        <f ca="1">IFERROR(__xludf.DUMMYFUNCTION("""COMPUTED_VALUE"""),3.22)</f>
        <v>3.22</v>
      </c>
      <c r="D68" s="18" t="str">
        <f ca="1">IFERROR(__xludf.DUMMYFUNCTION("""COMPUTED_VALUE"""),"МСХП")</f>
        <v>МСХП</v>
      </c>
      <c r="E68" s="18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18">
        <v>63</v>
      </c>
      <c r="B69" s="18" t="str">
        <f ca="1">IFERROR(__xludf.DUMMYFUNCTION("""COMPUTED_VALUE"""),"Новинский В.")</f>
        <v>Новинский В.</v>
      </c>
      <c r="C69" s="67">
        <f ca="1">IFERROR(__xludf.DUMMYFUNCTION("""COMPUTED_VALUE"""),3.22)</f>
        <v>3.22</v>
      </c>
      <c r="D69" s="18" t="str">
        <f ca="1">IFERROR(__xludf.DUMMYFUNCTION("""COMPUTED_VALUE"""),"МСХП")</f>
        <v>МСХП</v>
      </c>
      <c r="E69" s="18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18">
        <v>64</v>
      </c>
      <c r="B70" s="18" t="str">
        <f ca="1">IFERROR(__xludf.DUMMYFUNCTION("""COMPUTED_VALUE"""),"Курбатов М.")</f>
        <v>Курбатов М.</v>
      </c>
      <c r="C70" s="67">
        <f ca="1">IFERROR(__xludf.DUMMYFUNCTION("""COMPUTED_VALUE"""),3.22)</f>
        <v>3.22</v>
      </c>
      <c r="D70" s="18" t="str">
        <f ca="1">IFERROR(__xludf.DUMMYFUNCTION("""COMPUTED_VALUE"""),"МСХП")</f>
        <v>МСХП</v>
      </c>
      <c r="E70" s="18" t="str">
        <f ca="1">IFERROR(__xludf.DUMMYFUNCTION("""COMPUTED_VALUE"""),"оригинал ")</f>
        <v xml:space="preserve">оригинал 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18">
        <v>65</v>
      </c>
      <c r="B71" s="18" t="str">
        <f ca="1">IFERROR(__xludf.DUMMYFUNCTION("""COMPUTED_VALUE"""),"Яковлев Б.")</f>
        <v>Яковлев Б.</v>
      </c>
      <c r="C71" s="67">
        <f ca="1">IFERROR(__xludf.DUMMYFUNCTION("""COMPUTED_VALUE"""),3.21)</f>
        <v>3.21</v>
      </c>
      <c r="D71" s="18" t="str">
        <f ca="1">IFERROR(__xludf.DUMMYFUNCTION("""COMPUTED_VALUE"""),"МСХП")</f>
        <v>МСХП</v>
      </c>
      <c r="E71" s="18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18">
        <v>66</v>
      </c>
      <c r="B72" s="18" t="str">
        <f ca="1">IFERROR(__xludf.DUMMYFUNCTION("""COMPUTED_VALUE"""),"Леденцов С.")</f>
        <v>Леденцов С.</v>
      </c>
      <c r="C72" s="67">
        <f ca="1">IFERROR(__xludf.DUMMYFUNCTION("""COMPUTED_VALUE"""),3.21)</f>
        <v>3.21</v>
      </c>
      <c r="D72" s="18" t="str">
        <f ca="1">IFERROR(__xludf.DUMMYFUNCTION("""COMPUTED_VALUE"""),"МСХП")</f>
        <v>МСХП</v>
      </c>
      <c r="E72" s="18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18">
        <v>67</v>
      </c>
      <c r="B73" s="18" t="str">
        <f ca="1">IFERROR(__xludf.DUMMYFUNCTION("""COMPUTED_VALUE"""),"Осипов К.")</f>
        <v>Осипов К.</v>
      </c>
      <c r="C73" s="67">
        <f ca="1">IFERROR(__xludf.DUMMYFUNCTION("""COMPUTED_VALUE"""),3.21)</f>
        <v>3.21</v>
      </c>
      <c r="D73" s="18" t="str">
        <f ca="1">IFERROR(__xludf.DUMMYFUNCTION("""COMPUTED_VALUE"""),"МСХП")</f>
        <v>МСХП</v>
      </c>
      <c r="E73" s="18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18">
        <v>68</v>
      </c>
      <c r="B74" s="18" t="str">
        <f ca="1">IFERROR(__xludf.DUMMYFUNCTION("""COMPUTED_VALUE"""),"Козлов Д. С.")</f>
        <v>Козлов Д. С.</v>
      </c>
      <c r="C74" s="67">
        <f ca="1">IFERROR(__xludf.DUMMYFUNCTION("""COMPUTED_VALUE"""),3.21)</f>
        <v>3.21</v>
      </c>
      <c r="D74" s="18" t="str">
        <f ca="1">IFERROR(__xludf.DUMMYFUNCTION("""COMPUTED_VALUE"""),"МСХП")</f>
        <v>МСХП</v>
      </c>
      <c r="E74" s="18" t="str">
        <f ca="1">IFERROR(__xludf.DUMMYFUNCTION("""COMPUTED_VALUE"""),"оригинал")</f>
        <v>оригинал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18">
        <v>69</v>
      </c>
      <c r="B75" s="18" t="str">
        <f ca="1">IFERROR(__xludf.DUMMYFUNCTION("""COMPUTED_VALUE"""),"Чеусов А.")</f>
        <v>Чеусов А.</v>
      </c>
      <c r="C75" s="18">
        <f ca="1">IFERROR(__xludf.DUMMYFUNCTION("""COMPUTED_VALUE"""),3.2)</f>
        <v>3.2</v>
      </c>
      <c r="D75" s="18" t="str">
        <f ca="1">IFERROR(__xludf.DUMMYFUNCTION("""COMPUTED_VALUE"""),"МСХП")</f>
        <v>МСХП</v>
      </c>
      <c r="E75" s="18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18">
        <v>70</v>
      </c>
      <c r="B76" s="18" t="str">
        <f ca="1">IFERROR(__xludf.DUMMYFUNCTION("""COMPUTED_VALUE"""),"Калинин В.")</f>
        <v>Калинин В.</v>
      </c>
      <c r="C76" s="67">
        <f ca="1">IFERROR(__xludf.DUMMYFUNCTION("""COMPUTED_VALUE"""),3.2)</f>
        <v>3.2</v>
      </c>
      <c r="D76" s="18" t="str">
        <f ca="1">IFERROR(__xludf.DUMMYFUNCTION("""COMPUTED_VALUE"""),"МСХП")</f>
        <v>МСХП</v>
      </c>
      <c r="E76" s="18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18">
        <v>71</v>
      </c>
      <c r="B77" s="18" t="str">
        <f ca="1">IFERROR(__xludf.DUMMYFUNCTION("""COMPUTED_VALUE"""),"Чеботарь А. Д.")</f>
        <v>Чеботарь А. Д.</v>
      </c>
      <c r="C77" s="18">
        <f ca="1">IFERROR(__xludf.DUMMYFUNCTION("""COMPUTED_VALUE"""),3.2)</f>
        <v>3.2</v>
      </c>
      <c r="D77" s="18" t="str">
        <f ca="1">IFERROR(__xludf.DUMMYFUNCTION("""COMPUTED_VALUE"""),"МСХП")</f>
        <v>МСХП</v>
      </c>
      <c r="E77" s="18" t="str">
        <f ca="1">IFERROR(__xludf.DUMMYFUNCTION("""COMPUTED_VALUE"""),"оригинал")</f>
        <v>оригинал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18">
        <v>72</v>
      </c>
      <c r="B78" s="18" t="str">
        <f ca="1">IFERROR(__xludf.DUMMYFUNCTION("""COMPUTED_VALUE"""),"Смуденков М. В.")</f>
        <v>Смуденков М. В.</v>
      </c>
      <c r="C78" s="18">
        <f ca="1">IFERROR(__xludf.DUMMYFUNCTION("""COMPUTED_VALUE"""),3.2)</f>
        <v>3.2</v>
      </c>
      <c r="D78" s="18" t="str">
        <f ca="1">IFERROR(__xludf.DUMMYFUNCTION("""COMPUTED_VALUE"""),"МСХП")</f>
        <v>МСХП</v>
      </c>
      <c r="E78" s="18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18">
        <v>73</v>
      </c>
      <c r="B79" s="18" t="str">
        <f ca="1">IFERROR(__xludf.DUMMYFUNCTION("""COMPUTED_VALUE"""),"Булышев З.")</f>
        <v>Булышев З.</v>
      </c>
      <c r="C79" s="67">
        <f ca="1">IFERROR(__xludf.DUMMYFUNCTION("""COMPUTED_VALUE"""),3.17)</f>
        <v>3.17</v>
      </c>
      <c r="D79" s="18" t="str">
        <f ca="1">IFERROR(__xludf.DUMMYFUNCTION("""COMPUTED_VALUE"""),"МСХП")</f>
        <v>МСХП</v>
      </c>
      <c r="E79" s="18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18">
        <v>74</v>
      </c>
      <c r="B80" s="18" t="str">
        <f ca="1">IFERROR(__xludf.DUMMYFUNCTION("""COMPUTED_VALUE"""),"Лызлов Д.")</f>
        <v>Лызлов Д.</v>
      </c>
      <c r="C80" s="67">
        <f ca="1">IFERROR(__xludf.DUMMYFUNCTION("""COMPUTED_VALUE"""),3.16)</f>
        <v>3.16</v>
      </c>
      <c r="D80" s="18" t="str">
        <f ca="1">IFERROR(__xludf.DUMMYFUNCTION("""COMPUTED_VALUE"""),"МСХП")</f>
        <v>МСХП</v>
      </c>
      <c r="E80" s="18" t="str">
        <f ca="1">IFERROR(__xludf.DUMMYFUNCTION("""COMPUTED_VALUE"""),"копия")</f>
        <v>копия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18">
        <v>75</v>
      </c>
      <c r="B81" s="18" t="str">
        <f ca="1">IFERROR(__xludf.DUMMYFUNCTION("""COMPUTED_VALUE"""),"Игнатов В.В.")</f>
        <v>Игнатов В.В.</v>
      </c>
      <c r="C81" s="67">
        <f ca="1">IFERROR(__xludf.DUMMYFUNCTION("""COMPUTED_VALUE"""),3.16)</f>
        <v>3.16</v>
      </c>
      <c r="D81" s="18" t="str">
        <f ca="1">IFERROR(__xludf.DUMMYFUNCTION("""COMPUTED_VALUE"""),"МСХП")</f>
        <v>МСХП</v>
      </c>
      <c r="E81" s="18" t="str">
        <f ca="1">IFERROR(__xludf.DUMMYFUNCTION("""COMPUTED_VALUE"""),"оригинал ")</f>
        <v xml:space="preserve">оригинал 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18">
        <v>76</v>
      </c>
      <c r="B82" s="18" t="str">
        <f ca="1">IFERROR(__xludf.DUMMYFUNCTION("""COMPUTED_VALUE"""),"Торлопов Д.")</f>
        <v>Торлопов Д.</v>
      </c>
      <c r="C82" s="67">
        <f ca="1">IFERROR(__xludf.DUMMYFUNCTION("""COMPUTED_VALUE"""),3.15)</f>
        <v>3.15</v>
      </c>
      <c r="D82" s="18" t="str">
        <f ca="1">IFERROR(__xludf.DUMMYFUNCTION("""COMPUTED_VALUE"""),"МСХП")</f>
        <v>МСХП</v>
      </c>
      <c r="E82" s="18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18">
        <v>77</v>
      </c>
      <c r="B83" s="18" t="str">
        <f ca="1">IFERROR(__xludf.DUMMYFUNCTION("""COMPUTED_VALUE"""),"Шудрич Д.")</f>
        <v>Шудрич Д.</v>
      </c>
      <c r="C83" s="67">
        <f ca="1">IFERROR(__xludf.DUMMYFUNCTION("""COMPUTED_VALUE"""),3.15)</f>
        <v>3.15</v>
      </c>
      <c r="D83" s="18" t="str">
        <f ca="1">IFERROR(__xludf.DUMMYFUNCTION("""COMPUTED_VALUE"""),"МСХП")</f>
        <v>МСХП</v>
      </c>
      <c r="E83" s="18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6"/>
      <c r="B84" s="6" t="str">
        <f ca="1">IFERROR(__xludf.DUMMYFUNCTION("""COMPUTED_VALUE"""),"Ведмедюк П.")</f>
        <v>Ведмедюк П.</v>
      </c>
      <c r="C84" s="68">
        <f ca="1">IFERROR(__xludf.DUMMYFUNCTION("""COMPUTED_VALUE"""),3.1)</f>
        <v>3.1</v>
      </c>
      <c r="D84" s="6" t="str">
        <f ca="1">IFERROR(__xludf.DUMMYFUNCTION("""COMPUTED_VALUE"""),"МСХП")</f>
        <v>МСХП</v>
      </c>
      <c r="E84" s="6" t="str">
        <f ca="1">IFERROR(__xludf.DUMMYFUNCTION("""COMPUTED_VALUE"""),"оригинал ")</f>
        <v xml:space="preserve">оригинал 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6"/>
      <c r="B85" s="6" t="str">
        <f ca="1">IFERROR(__xludf.DUMMYFUNCTION("""COMPUTED_VALUE"""),"Яцула Е.")</f>
        <v>Яцула Е.</v>
      </c>
      <c r="C85" s="6">
        <f ca="1">IFERROR(__xludf.DUMMYFUNCTION("""COMPUTED_VALUE"""),3.05)</f>
        <v>3.05</v>
      </c>
      <c r="D85" s="6" t="str">
        <f ca="1">IFERROR(__xludf.DUMMYFUNCTION("""COMPUTED_VALUE"""),"МСХП")</f>
        <v>МСХП</v>
      </c>
      <c r="E85" s="6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6"/>
      <c r="B86" s="6" t="str">
        <f ca="1">IFERROR(__xludf.DUMMYFUNCTION("""COMPUTED_VALUE"""),"Ракитин Н.")</f>
        <v>Ракитин Н.</v>
      </c>
      <c r="C86" s="68">
        <f ca="1">IFERROR(__xludf.DUMMYFUNCTION("""COMPUTED_VALUE"""),3.05)</f>
        <v>3.05</v>
      </c>
      <c r="D86" s="6" t="str">
        <f ca="1">IFERROR(__xludf.DUMMYFUNCTION("""COMPUTED_VALUE"""),"МСХП")</f>
        <v>МСХП</v>
      </c>
      <c r="E86" s="6" t="str">
        <f ca="1">IFERROR(__xludf.DUMMYFUNCTION("""COMPUTED_VALUE"""),"оригинал")</f>
        <v>оригинал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6"/>
      <c r="B87" s="6" t="str">
        <f ca="1">IFERROR(__xludf.DUMMYFUNCTION("""COMPUTED_VALUE"""),"Чесноков Ю. В.")</f>
        <v>Чесноков Ю. В.</v>
      </c>
      <c r="C87" s="68">
        <f ca="1">IFERROR(__xludf.DUMMYFUNCTION("""COMPUTED_VALUE"""),3.05)</f>
        <v>3.05</v>
      </c>
      <c r="D87" s="6" t="str">
        <f ca="1">IFERROR(__xludf.DUMMYFUNCTION("""COMPUTED_VALUE"""),"МСХП")</f>
        <v>МСХП</v>
      </c>
      <c r="E87" s="6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6"/>
      <c r="B88" s="6" t="str">
        <f ca="1">IFERROR(__xludf.DUMMYFUNCTION("""COMPUTED_VALUE"""),"Борисов А.")</f>
        <v>Борисов А.</v>
      </c>
      <c r="C88" s="68">
        <f ca="1">IFERROR(__xludf.DUMMYFUNCTION("""COMPUTED_VALUE"""),3)</f>
        <v>3</v>
      </c>
      <c r="D88" s="6" t="str">
        <f ca="1">IFERROR(__xludf.DUMMYFUNCTION("""COMPUTED_VALUE"""),"МСХП")</f>
        <v>МСХП</v>
      </c>
      <c r="E88" s="6" t="str">
        <f ca="1">IFERROR(__xludf.DUMMYFUNCTION("""COMPUTED_VALUE"""),"оригинал ")</f>
        <v xml:space="preserve">оригинал 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6"/>
      <c r="B89" s="6" t="str">
        <f ca="1">IFERROR(__xludf.DUMMYFUNCTION("""COMPUTED_VALUE"""),"Куцко Р. В.")</f>
        <v>Куцко Р. В.</v>
      </c>
      <c r="C89" s="68">
        <f ca="1">IFERROR(__xludf.DUMMYFUNCTION("""COMPUTED_VALUE"""),3)</f>
        <v>3</v>
      </c>
      <c r="D89" s="6" t="str">
        <f ca="1">IFERROR(__xludf.DUMMYFUNCTION("""COMPUTED_VALUE"""),"МСХП")</f>
        <v>МСХП</v>
      </c>
      <c r="E89" s="6" t="str">
        <f ca="1">IFERROR(__xludf.DUMMYFUNCTION("""COMPUTED_VALUE"""),"копия")</f>
        <v>копия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6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6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6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6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6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E5"/>
    <mergeCell ref="A1:C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/>
  </sheetViews>
  <sheetFormatPr defaultColWidth="14.42578125" defaultRowHeight="15" customHeight="1"/>
  <cols>
    <col min="1" max="1" width="8.5703125" customWidth="1"/>
    <col min="2" max="2" width="29" customWidth="1"/>
    <col min="3" max="3" width="19.140625" customWidth="1"/>
    <col min="4" max="4" width="12.42578125" hidden="1" customWidth="1"/>
    <col min="5" max="5" width="15.4257812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4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774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775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776</v>
      </c>
      <c r="B6" s="18" t="s">
        <v>777</v>
      </c>
      <c r="C6" s="16" t="s">
        <v>778</v>
      </c>
      <c r="D6" s="5"/>
      <c r="E6" s="16" t="s">
        <v>779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IFERROR(__xludf.DUMMYFUNCTION("FILTER(Inbox_Data!F2:I1004,Inbox_Data!H2:H1004=""МА"")"),"Соколова К.")</f>
        <v>Соколова К.</v>
      </c>
      <c r="C7" s="20">
        <f ca="1">IFERROR(__xludf.DUMMYFUNCTION("""COMPUTED_VALUE"""),4.5)</f>
        <v>4.5</v>
      </c>
      <c r="D7" s="20" t="str">
        <f ca="1">IFERROR(__xludf.DUMMYFUNCTION("""COMPUTED_VALUE"""),"МА")</f>
        <v>МА</v>
      </c>
      <c r="E7" s="20" t="str">
        <f ca="1">IFERROR(__xludf.DUMMYFUNCTION("""COMPUTED_VALUE"""),"копия")</f>
        <v>копия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IFERROR(__xludf.DUMMYFUNCTION("""COMPUTED_VALUE"""),"Пинягин К.")</f>
        <v>Пинягин К.</v>
      </c>
      <c r="C8" s="20">
        <f ca="1">IFERROR(__xludf.DUMMYFUNCTION("""COMPUTED_VALUE"""),4.27)</f>
        <v>4.2699999999999996</v>
      </c>
      <c r="D8" s="20" t="str">
        <f ca="1">IFERROR(__xludf.DUMMYFUNCTION("""COMPUTED_VALUE"""),"МА")</f>
        <v>МА</v>
      </c>
      <c r="E8" s="20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IFERROR(__xludf.DUMMYFUNCTION("""COMPUTED_VALUE"""),"Жадан В.")</f>
        <v>Жадан В.</v>
      </c>
      <c r="C9" s="20">
        <f ca="1">IFERROR(__xludf.DUMMYFUNCTION("""COMPUTED_VALUE"""),4.27)</f>
        <v>4.2699999999999996</v>
      </c>
      <c r="D9" s="20" t="str">
        <f ca="1">IFERROR(__xludf.DUMMYFUNCTION("""COMPUTED_VALUE"""),"МА")</f>
        <v>МА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IFERROR(__xludf.DUMMYFUNCTION("""COMPUTED_VALUE"""),"Есева В.")</f>
        <v>Есева В.</v>
      </c>
      <c r="C10" s="20">
        <f ca="1">IFERROR(__xludf.DUMMYFUNCTION("""COMPUTED_VALUE"""),4.26)</f>
        <v>4.26</v>
      </c>
      <c r="D10" s="20" t="str">
        <f ca="1">IFERROR(__xludf.DUMMYFUNCTION("""COMPUTED_VALUE"""),"МА")</f>
        <v>МА</v>
      </c>
      <c r="E10" s="20" t="str">
        <f ca="1">IFERROR(__xludf.DUMMYFUNCTION("""COMPUTED_VALUE"""),"копия")</f>
        <v>копия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IFERROR(__xludf.DUMMYFUNCTION("""COMPUTED_VALUE"""),"Латкин В.")</f>
        <v>Латкин В.</v>
      </c>
      <c r="C11" s="20">
        <f ca="1">IFERROR(__xludf.DUMMYFUNCTION("""COMPUTED_VALUE"""),4.2)</f>
        <v>4.2</v>
      </c>
      <c r="D11" s="20" t="str">
        <f ca="1">IFERROR(__xludf.DUMMYFUNCTION("""COMPUTED_VALUE"""),"МА")</f>
        <v>МА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IFERROR(__xludf.DUMMYFUNCTION("""COMPUTED_VALUE"""),"Бабиков И.")</f>
        <v>Бабиков И.</v>
      </c>
      <c r="C12" s="20">
        <f ca="1">IFERROR(__xludf.DUMMYFUNCTION("""COMPUTED_VALUE"""),4.16)</f>
        <v>4.16</v>
      </c>
      <c r="D12" s="20" t="str">
        <f ca="1">IFERROR(__xludf.DUMMYFUNCTION("""COMPUTED_VALUE"""),"МА")</f>
        <v>МА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 t="str">
        <f ca="1">IFERROR(__xludf.DUMMYFUNCTION("""COMPUTED_VALUE"""),"Ожиганова А.")</f>
        <v>Ожиганова А.</v>
      </c>
      <c r="C13" s="20">
        <f ca="1">IFERROR(__xludf.DUMMYFUNCTION("""COMPUTED_VALUE"""),4.11)</f>
        <v>4.1100000000000003</v>
      </c>
      <c r="D13" s="20" t="str">
        <f ca="1">IFERROR(__xludf.DUMMYFUNCTION("""COMPUTED_VALUE"""),"МА")</f>
        <v>МА</v>
      </c>
      <c r="E13" s="20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 t="str">
        <f ca="1">IFERROR(__xludf.DUMMYFUNCTION("""COMPUTED_VALUE"""),"Тюник А. Ю.")</f>
        <v>Тюник А. Ю.</v>
      </c>
      <c r="C14" s="22">
        <f ca="1">IFERROR(__xludf.DUMMYFUNCTION("""COMPUTED_VALUE"""),4.11)</f>
        <v>4.1100000000000003</v>
      </c>
      <c r="D14" s="20" t="str">
        <f ca="1">IFERROR(__xludf.DUMMYFUNCTION("""COMPUTED_VALUE"""),"МА")</f>
        <v>МА</v>
      </c>
      <c r="E14" s="20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 t="str">
        <f ca="1">IFERROR(__xludf.DUMMYFUNCTION("""COMPUTED_VALUE"""),"Чеботарь К.")</f>
        <v>Чеботарь К.</v>
      </c>
      <c r="C15" s="20">
        <f ca="1">IFERROR(__xludf.DUMMYFUNCTION("""COMPUTED_VALUE"""),4.07)</f>
        <v>4.07</v>
      </c>
      <c r="D15" s="20" t="str">
        <f ca="1">IFERROR(__xludf.DUMMYFUNCTION("""COMPUTED_VALUE"""),"МА")</f>
        <v>МА</v>
      </c>
      <c r="E15" s="20" t="str">
        <f ca="1">IFERROR(__xludf.DUMMYFUNCTION("""COMPUTED_VALUE"""),"оригинал")</f>
        <v>оригинал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 t="str">
        <f ca="1">IFERROR(__xludf.DUMMYFUNCTION("""COMPUTED_VALUE"""),"Кудашкина К.")</f>
        <v>Кудашкина К.</v>
      </c>
      <c r="C16" s="20">
        <f ca="1">IFERROR(__xludf.DUMMYFUNCTION("""COMPUTED_VALUE"""),4.05)</f>
        <v>4.05</v>
      </c>
      <c r="D16" s="20" t="str">
        <f ca="1">IFERROR(__xludf.DUMMYFUNCTION("""COMPUTED_VALUE"""),"МА")</f>
        <v>МА</v>
      </c>
      <c r="E16" s="20" t="str">
        <f ca="1">IFERROR(__xludf.DUMMYFUNCTION("""COMPUTED_VALUE"""),"копия")</f>
        <v>копия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 t="str">
        <f ca="1">IFERROR(__xludf.DUMMYFUNCTION("""COMPUTED_VALUE"""),"Понаморенко 
 К.")</f>
        <v>Понаморенко 
 К.</v>
      </c>
      <c r="C17" s="23">
        <f ca="1">IFERROR(__xludf.DUMMYFUNCTION("""COMPUTED_VALUE"""),4.05)</f>
        <v>4.05</v>
      </c>
      <c r="D17" s="20" t="str">
        <f ca="1">IFERROR(__xludf.DUMMYFUNCTION("""COMPUTED_VALUE"""),"МА")</f>
        <v>МА</v>
      </c>
      <c r="E17" s="20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0" t="str">
        <f ca="1">IFERROR(__xludf.DUMMYFUNCTION("""COMPUTED_VALUE"""),"Латкин В.")</f>
        <v>Латкин В.</v>
      </c>
      <c r="C18" s="20">
        <f ca="1">IFERROR(__xludf.DUMMYFUNCTION("""COMPUTED_VALUE"""),4.05)</f>
        <v>4.05</v>
      </c>
      <c r="D18" s="20" t="str">
        <f ca="1">IFERROR(__xludf.DUMMYFUNCTION("""COMPUTED_VALUE"""),"МА")</f>
        <v>МА</v>
      </c>
      <c r="E18" s="20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0" t="str">
        <f ca="1">IFERROR(__xludf.DUMMYFUNCTION("""COMPUTED_VALUE"""),"Попов А.")</f>
        <v>Попов А.</v>
      </c>
      <c r="C19" s="20">
        <f ca="1">IFERROR(__xludf.DUMMYFUNCTION("""COMPUTED_VALUE"""),4.05)</f>
        <v>4.05</v>
      </c>
      <c r="D19" s="20" t="str">
        <f ca="1">IFERROR(__xludf.DUMMYFUNCTION("""COMPUTED_VALUE"""),"МА")</f>
        <v>МА</v>
      </c>
      <c r="E19" s="20" t="str">
        <f ca="1">IFERROR(__xludf.DUMMYFUNCTION("""COMPUTED_VALUE"""),"копия")</f>
        <v>копия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0" t="str">
        <f ca="1">IFERROR(__xludf.DUMMYFUNCTION("""COMPUTED_VALUE"""),"Пешкин Я.")</f>
        <v>Пешкин Я.</v>
      </c>
      <c r="C20" s="20">
        <f ca="1">IFERROR(__xludf.DUMMYFUNCTION("""COMPUTED_VALUE"""),4.05)</f>
        <v>4.05</v>
      </c>
      <c r="D20" s="20" t="str">
        <f ca="1">IFERROR(__xludf.DUMMYFUNCTION("""COMPUTED_VALUE"""),"МА")</f>
        <v>МА</v>
      </c>
      <c r="E20" s="20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0" t="str">
        <f ca="1">IFERROR(__xludf.DUMMYFUNCTION("""COMPUTED_VALUE"""),"Старцев Я.")</f>
        <v>Старцев Я.</v>
      </c>
      <c r="C21" s="20">
        <f ca="1">IFERROR(__xludf.DUMMYFUNCTION("""COMPUTED_VALUE"""),4)</f>
        <v>4</v>
      </c>
      <c r="D21" s="20" t="str">
        <f ca="1">IFERROR(__xludf.DUMMYFUNCTION("""COMPUTED_VALUE"""),"МА")</f>
        <v>МА</v>
      </c>
      <c r="E21" s="20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0" t="str">
        <f ca="1">IFERROR(__xludf.DUMMYFUNCTION("""COMPUTED_VALUE"""),"Имеле С.")</f>
        <v>Имеле С.</v>
      </c>
      <c r="C22" s="20">
        <f ca="1">IFERROR(__xludf.DUMMYFUNCTION("""COMPUTED_VALUE"""),3.95)</f>
        <v>3.95</v>
      </c>
      <c r="D22" s="20" t="str">
        <f ca="1">IFERROR(__xludf.DUMMYFUNCTION("""COMPUTED_VALUE"""),"МА")</f>
        <v>МА</v>
      </c>
      <c r="E22" s="20" t="str">
        <f ca="1">IFERROR(__xludf.DUMMYFUNCTION("""COMPUTED_VALUE"""),"копия")</f>
        <v>копия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0" t="str">
        <f ca="1">IFERROR(__xludf.DUMMYFUNCTION("""COMPUTED_VALUE"""),"Чеботинка К.")</f>
        <v>Чеботинка К.</v>
      </c>
      <c r="C23" s="20">
        <f ca="1">IFERROR(__xludf.DUMMYFUNCTION("""COMPUTED_VALUE"""),3.94)</f>
        <v>3.94</v>
      </c>
      <c r="D23" s="20" t="str">
        <f ca="1">IFERROR(__xludf.DUMMYFUNCTION("""COMPUTED_VALUE"""),"МА")</f>
        <v>МА</v>
      </c>
      <c r="E23" s="20" t="str">
        <f ca="1">IFERROR(__xludf.DUMMYFUNCTION("""COMPUTED_VALUE"""),"копия")</f>
        <v>копия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0" t="str">
        <f ca="1">IFERROR(__xludf.DUMMYFUNCTION("""COMPUTED_VALUE"""),"Южаков Д.")</f>
        <v>Южаков Д.</v>
      </c>
      <c r="C24" s="23">
        <f ca="1">IFERROR(__xludf.DUMMYFUNCTION("""COMPUTED_VALUE"""),3.89)</f>
        <v>3.89</v>
      </c>
      <c r="D24" s="20" t="str">
        <f ca="1">IFERROR(__xludf.DUMMYFUNCTION("""COMPUTED_VALUE"""),"МА")</f>
        <v>МА</v>
      </c>
      <c r="E24" s="20" t="str">
        <f ca="1">IFERROR(__xludf.DUMMYFUNCTION("""COMPUTED_VALUE"""),"оригинал")</f>
        <v>оригинал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19" t="str">
        <f ca="1">IFERROR(__xludf.DUMMYFUNCTION("""COMPUTED_VALUE"""),"Смирнов А.")</f>
        <v>Смирнов А.</v>
      </c>
      <c r="C25" s="20">
        <f ca="1">IFERROR(__xludf.DUMMYFUNCTION("""COMPUTED_VALUE"""),3.89)</f>
        <v>3.89</v>
      </c>
      <c r="D25" s="20" t="str">
        <f ca="1">IFERROR(__xludf.DUMMYFUNCTION("""COMPUTED_VALUE"""),"МА")</f>
        <v>МА</v>
      </c>
      <c r="E25" s="20" t="str">
        <f ca="1">IFERROR(__xludf.DUMMYFUNCTION("""COMPUTED_VALUE"""),"копия")</f>
        <v>копия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19" t="str">
        <f ca="1">IFERROR(__xludf.DUMMYFUNCTION("""COMPUTED_VALUE"""),"Котманов Г.")</f>
        <v>Котманов Г.</v>
      </c>
      <c r="C26" s="20">
        <f ca="1">IFERROR(__xludf.DUMMYFUNCTION("""COMPUTED_VALUE"""),3.88)</f>
        <v>3.88</v>
      </c>
      <c r="D26" s="20" t="str">
        <f ca="1">IFERROR(__xludf.DUMMYFUNCTION("""COMPUTED_VALUE"""),"МА")</f>
        <v>МА</v>
      </c>
      <c r="E26" s="20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19" t="str">
        <f ca="1">IFERROR(__xludf.DUMMYFUNCTION("""COMPUTED_VALUE"""),"Соловьев А.")</f>
        <v>Соловьев А.</v>
      </c>
      <c r="C27" s="20">
        <f ca="1">IFERROR(__xludf.DUMMYFUNCTION("""COMPUTED_VALUE"""),3.88)</f>
        <v>3.88</v>
      </c>
      <c r="D27" s="20" t="str">
        <f ca="1">IFERROR(__xludf.DUMMYFUNCTION("""COMPUTED_VALUE"""),"МА")</f>
        <v>МА</v>
      </c>
      <c r="E27" s="20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19" t="str">
        <f ca="1">IFERROR(__xludf.DUMMYFUNCTION("""COMPUTED_VALUE"""),"Лебедев И. А.")</f>
        <v>Лебедев И. А.</v>
      </c>
      <c r="C28" s="22">
        <f ca="1">IFERROR(__xludf.DUMMYFUNCTION("""COMPUTED_VALUE"""),3.87)</f>
        <v>3.87</v>
      </c>
      <c r="D28" s="20" t="str">
        <f ca="1">IFERROR(__xludf.DUMMYFUNCTION("""COMPUTED_VALUE"""),"МА")</f>
        <v>МА</v>
      </c>
      <c r="E28" s="20" t="str">
        <f ca="1">IFERROR(__xludf.DUMMYFUNCTION("""COMPUTED_VALUE"""),"оригинал ")</f>
        <v xml:space="preserve">оригинал 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19" t="str">
        <f ca="1">IFERROR(__xludf.DUMMYFUNCTION("""COMPUTED_VALUE"""),"Филатов К. А.")</f>
        <v>Филатов К. А.</v>
      </c>
      <c r="C29" s="22">
        <f ca="1">IFERROR(__xludf.DUMMYFUNCTION("""COMPUTED_VALUE"""),3.85)</f>
        <v>3.85</v>
      </c>
      <c r="D29" s="20" t="str">
        <f ca="1">IFERROR(__xludf.DUMMYFUNCTION("""COMPUTED_VALUE"""),"МА")</f>
        <v>МА</v>
      </c>
      <c r="E29" s="20" t="str">
        <f ca="1">IFERROR(__xludf.DUMMYFUNCTION("""COMPUTED_VALUE"""),"оригинал")</f>
        <v>оригинал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9">
        <v>24</v>
      </c>
      <c r="B30" s="19" t="str">
        <f ca="1">IFERROR(__xludf.DUMMYFUNCTION("""COMPUTED_VALUE"""),"Булышев В.")</f>
        <v>Булышев В.</v>
      </c>
      <c r="C30" s="20">
        <f ca="1">IFERROR(__xludf.DUMMYFUNCTION("""COMPUTED_VALUE"""),3.84)</f>
        <v>3.84</v>
      </c>
      <c r="D30" s="20" t="str">
        <f ca="1">IFERROR(__xludf.DUMMYFUNCTION("""COMPUTED_VALUE"""),"МА")</f>
        <v>МА</v>
      </c>
      <c r="E30" s="20" t="str">
        <f ca="1">IFERROR(__xludf.DUMMYFUNCTION("""COMPUTED_VALUE"""),"копия")</f>
        <v>копия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9">
        <v>25</v>
      </c>
      <c r="B31" s="19" t="str">
        <f ca="1">IFERROR(__xludf.DUMMYFUNCTION("""COMPUTED_VALUE"""),"Ракин Р.")</f>
        <v>Ракин Р.</v>
      </c>
      <c r="C31" s="20">
        <f ca="1">IFERROR(__xludf.DUMMYFUNCTION("""COMPUTED_VALUE"""),3.84)</f>
        <v>3.84</v>
      </c>
      <c r="D31" s="20" t="str">
        <f ca="1">IFERROR(__xludf.DUMMYFUNCTION("""COMPUTED_VALUE"""),"МА")</f>
        <v>МА</v>
      </c>
      <c r="E31" s="20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9">
        <v>26</v>
      </c>
      <c r="B32" s="19" t="str">
        <f ca="1">IFERROR(__xludf.DUMMYFUNCTION("""COMPUTED_VALUE"""),"Левченко И.")</f>
        <v>Левченко И.</v>
      </c>
      <c r="C32" s="20">
        <f ca="1">IFERROR(__xludf.DUMMYFUNCTION("""COMPUTED_VALUE"""),3.84)</f>
        <v>3.84</v>
      </c>
      <c r="D32" s="20" t="str">
        <f ca="1">IFERROR(__xludf.DUMMYFUNCTION("""COMPUTED_VALUE"""),"МА")</f>
        <v>МА</v>
      </c>
      <c r="E32" s="20" t="str">
        <f ca="1">IFERROR(__xludf.DUMMYFUNCTION("""COMPUTED_VALUE"""),"оригинал ")</f>
        <v xml:space="preserve">оригинал 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13.5" customHeight="1">
      <c r="A33" s="19">
        <v>27</v>
      </c>
      <c r="B33" s="19" t="str">
        <f ca="1">IFERROR(__xludf.DUMMYFUNCTION("""COMPUTED_VALUE"""),"Ветошкин Р.")</f>
        <v>Ветошкин Р.</v>
      </c>
      <c r="C33" s="20">
        <f ca="1">IFERROR(__xludf.DUMMYFUNCTION("""COMPUTED_VALUE"""),3.84)</f>
        <v>3.84</v>
      </c>
      <c r="D33" s="20" t="str">
        <f ca="1">IFERROR(__xludf.DUMMYFUNCTION("""COMPUTED_VALUE"""),"МА")</f>
        <v>МА</v>
      </c>
      <c r="E33" s="20" t="str">
        <f ca="1">IFERROR(__xludf.DUMMYFUNCTION("""COMPUTED_VALUE"""),"копия")</f>
        <v>копия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13.5" customHeight="1">
      <c r="A34" s="19">
        <v>28</v>
      </c>
      <c r="B34" s="19" t="str">
        <f ca="1">IFERROR(__xludf.DUMMYFUNCTION("""COMPUTED_VALUE"""),"Валуев Е. Н.")</f>
        <v>Валуев Е. Н.</v>
      </c>
      <c r="C34" s="22">
        <f ca="1">IFERROR(__xludf.DUMMYFUNCTION("""COMPUTED_VALUE"""),3.84)</f>
        <v>3.84</v>
      </c>
      <c r="D34" s="20" t="str">
        <f ca="1">IFERROR(__xludf.DUMMYFUNCTION("""COMPUTED_VALUE"""),"МА")</f>
        <v>МА</v>
      </c>
      <c r="E34" s="20" t="str">
        <f ca="1">IFERROR(__xludf.DUMMYFUNCTION("""COMPUTED_VALUE"""),"оригинал")</f>
        <v>оригинал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3.5" customHeight="1">
      <c r="A35" s="19">
        <v>29</v>
      </c>
      <c r="B35" s="19" t="str">
        <f ca="1">IFERROR(__xludf.DUMMYFUNCTION("""COMPUTED_VALUE"""),"Ульянова А.")</f>
        <v>Ульянова А.</v>
      </c>
      <c r="C35" s="20">
        <f ca="1">IFERROR(__xludf.DUMMYFUNCTION("""COMPUTED_VALUE"""),3.83)</f>
        <v>3.83</v>
      </c>
      <c r="D35" s="20" t="str">
        <f ca="1">IFERROR(__xludf.DUMMYFUNCTION("""COMPUTED_VALUE"""),"МА")</f>
        <v>МА</v>
      </c>
      <c r="E35" s="20" t="str">
        <f ca="1">IFERROR(__xludf.DUMMYFUNCTION("""COMPUTED_VALUE"""),"копия")</f>
        <v>копия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13.5" customHeight="1">
      <c r="A36" s="19">
        <v>30</v>
      </c>
      <c r="B36" s="19" t="str">
        <f ca="1">IFERROR(__xludf.DUMMYFUNCTION("""COMPUTED_VALUE"""),"Мамонтов Д. В.")</f>
        <v>Мамонтов Д. В.</v>
      </c>
      <c r="C36" s="22">
        <f ca="1">IFERROR(__xludf.DUMMYFUNCTION("""COMPUTED_VALUE"""),3.83)</f>
        <v>3.83</v>
      </c>
      <c r="D36" s="20" t="str">
        <f ca="1">IFERROR(__xludf.DUMMYFUNCTION("""COMPUTED_VALUE"""),"МА")</f>
        <v>МА</v>
      </c>
      <c r="E36" s="20" t="str">
        <f ca="1">IFERROR(__xludf.DUMMYFUNCTION("""COMPUTED_VALUE"""),"оригинал")</f>
        <v>оригинал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13.5" customHeight="1">
      <c r="A37" s="19">
        <v>31</v>
      </c>
      <c r="B37" s="19" t="str">
        <f ca="1">IFERROR(__xludf.DUMMYFUNCTION("""COMPUTED_VALUE"""),"Назаров Д.")</f>
        <v>Назаров Д.</v>
      </c>
      <c r="C37" s="20">
        <f ca="1">IFERROR(__xludf.DUMMYFUNCTION("""COMPUTED_VALUE"""),3.8)</f>
        <v>3.8</v>
      </c>
      <c r="D37" s="20" t="str">
        <f ca="1">IFERROR(__xludf.DUMMYFUNCTION("""COMPUTED_VALUE"""),"МА")</f>
        <v>МА</v>
      </c>
      <c r="E37" s="20" t="str">
        <f ca="1">IFERROR(__xludf.DUMMYFUNCTION("""COMPUTED_VALUE"""),"копия")</f>
        <v>копия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13.5" customHeight="1">
      <c r="A38" s="19">
        <v>32</v>
      </c>
      <c r="B38" s="19" t="str">
        <f ca="1">IFERROR(__xludf.DUMMYFUNCTION("""COMPUTED_VALUE"""),"Тоноян Г.")</f>
        <v>Тоноян Г.</v>
      </c>
      <c r="C38" s="20">
        <f ca="1">IFERROR(__xludf.DUMMYFUNCTION("""COMPUTED_VALUE"""),3.79)</f>
        <v>3.79</v>
      </c>
      <c r="D38" s="20" t="str">
        <f ca="1">IFERROR(__xludf.DUMMYFUNCTION("""COMPUTED_VALUE"""),"МА")</f>
        <v>МА</v>
      </c>
      <c r="E38" s="20" t="str">
        <f ca="1">IFERROR(__xludf.DUMMYFUNCTION("""COMPUTED_VALUE"""),"копия")</f>
        <v>копия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13.5" customHeight="1">
      <c r="A39" s="19">
        <v>33</v>
      </c>
      <c r="B39" s="19" t="str">
        <f ca="1">IFERROR(__xludf.DUMMYFUNCTION("""COMPUTED_VALUE"""),"Томова М.")</f>
        <v>Томова М.</v>
      </c>
      <c r="C39" s="20">
        <f ca="1">IFERROR(__xludf.DUMMYFUNCTION("""COMPUTED_VALUE"""),3.78)</f>
        <v>3.78</v>
      </c>
      <c r="D39" s="20" t="str">
        <f ca="1">IFERROR(__xludf.DUMMYFUNCTION("""COMPUTED_VALUE"""),"МА")</f>
        <v>МА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13.5" customHeight="1">
      <c r="A40" s="19">
        <v>34</v>
      </c>
      <c r="B40" s="19" t="str">
        <f ca="1">IFERROR(__xludf.DUMMYFUNCTION("""COMPUTED_VALUE"""),"Рогожникова А.")</f>
        <v>Рогожникова А.</v>
      </c>
      <c r="C40" s="23">
        <f ca="1">IFERROR(__xludf.DUMMYFUNCTION("""COMPUTED_VALUE"""),3.78)</f>
        <v>3.78</v>
      </c>
      <c r="D40" s="20" t="str">
        <f ca="1">IFERROR(__xludf.DUMMYFUNCTION("""COMPUTED_VALUE"""),"МА")</f>
        <v>МА</v>
      </c>
      <c r="E40" s="20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13.5" customHeight="1">
      <c r="A41" s="19">
        <v>35</v>
      </c>
      <c r="B41" s="19" t="str">
        <f ca="1">IFERROR(__xludf.DUMMYFUNCTION("""COMPUTED_VALUE"""),"Хворов М.")</f>
        <v>Хворов М.</v>
      </c>
      <c r="C41" s="20">
        <f ca="1">IFERROR(__xludf.DUMMYFUNCTION("""COMPUTED_VALUE"""),3.78)</f>
        <v>3.78</v>
      </c>
      <c r="D41" s="20" t="str">
        <f ca="1">IFERROR(__xludf.DUMMYFUNCTION("""COMPUTED_VALUE"""),"МА")</f>
        <v>МА</v>
      </c>
      <c r="E41" s="20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3.5" customHeight="1">
      <c r="A42" s="19">
        <v>36</v>
      </c>
      <c r="B42" s="19" t="str">
        <f ca="1">IFERROR(__xludf.DUMMYFUNCTION("""COMPUTED_VALUE"""),"Конанов В.")</f>
        <v>Конанов В.</v>
      </c>
      <c r="C42" s="20">
        <f ca="1">IFERROR(__xludf.DUMMYFUNCTION("""COMPUTED_VALUE"""),3.78)</f>
        <v>3.78</v>
      </c>
      <c r="D42" s="20" t="str">
        <f ca="1">IFERROR(__xludf.DUMMYFUNCTION("""COMPUTED_VALUE"""),"МА")</f>
        <v>МА</v>
      </c>
      <c r="E42" s="20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13.5" customHeight="1">
      <c r="A43" s="19">
        <v>37</v>
      </c>
      <c r="B43" s="19" t="str">
        <f ca="1">IFERROR(__xludf.DUMMYFUNCTION("""COMPUTED_VALUE"""),"Хворов М.")</f>
        <v>Хворов М.</v>
      </c>
      <c r="C43" s="20">
        <f ca="1">IFERROR(__xludf.DUMMYFUNCTION("""COMPUTED_VALUE"""),3.77)</f>
        <v>3.77</v>
      </c>
      <c r="D43" s="20" t="str">
        <f ca="1">IFERROR(__xludf.DUMMYFUNCTION("""COMPUTED_VALUE"""),"МА")</f>
        <v>МА</v>
      </c>
      <c r="E43" s="20" t="str">
        <f ca="1">IFERROR(__xludf.DUMMYFUNCTION("""COMPUTED_VALUE"""),"оригинал ")</f>
        <v xml:space="preserve">оригинал 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13.5" customHeight="1">
      <c r="A44" s="19">
        <v>38</v>
      </c>
      <c r="B44" s="19" t="str">
        <f ca="1">IFERROR(__xludf.DUMMYFUNCTION("""COMPUTED_VALUE"""),"Хворов М.")</f>
        <v>Хворов М.</v>
      </c>
      <c r="C44" s="23">
        <f ca="1">IFERROR(__xludf.DUMMYFUNCTION("""COMPUTED_VALUE"""),3.77)</f>
        <v>3.77</v>
      </c>
      <c r="D44" s="20" t="str">
        <f ca="1">IFERROR(__xludf.DUMMYFUNCTION("""COMPUTED_VALUE"""),"МА")</f>
        <v>МА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13.5" customHeight="1">
      <c r="A45" s="19">
        <v>39</v>
      </c>
      <c r="B45" s="19" t="str">
        <f ca="1">IFERROR(__xludf.DUMMYFUNCTION("""COMPUTED_VALUE"""),"Елесеев Т.")</f>
        <v>Елесеев Т.</v>
      </c>
      <c r="C45" s="20">
        <f ca="1">IFERROR(__xludf.DUMMYFUNCTION("""COMPUTED_VALUE"""),3.76)</f>
        <v>3.76</v>
      </c>
      <c r="D45" s="20" t="str">
        <f ca="1">IFERROR(__xludf.DUMMYFUNCTION("""COMPUTED_VALUE"""),"МА")</f>
        <v>МА</v>
      </c>
      <c r="E45" s="20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13.5" customHeight="1">
      <c r="A46" s="19">
        <v>40</v>
      </c>
      <c r="B46" s="19" t="str">
        <f ca="1">IFERROR(__xludf.DUMMYFUNCTION("""COMPUTED_VALUE"""),"Чернявский Н.")</f>
        <v>Чернявский Н.</v>
      </c>
      <c r="C46" s="20">
        <f ca="1">IFERROR(__xludf.DUMMYFUNCTION("""COMPUTED_VALUE"""),3.76)</f>
        <v>3.76</v>
      </c>
      <c r="D46" s="20" t="str">
        <f ca="1">IFERROR(__xludf.DUMMYFUNCTION("""COMPUTED_VALUE"""),"МА")</f>
        <v>МА</v>
      </c>
      <c r="E46" s="20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3.5" customHeight="1">
      <c r="A47" s="19">
        <v>41</v>
      </c>
      <c r="B47" s="19" t="str">
        <f ca="1">IFERROR(__xludf.DUMMYFUNCTION("""COMPUTED_VALUE"""),"Малейкин М. С.")</f>
        <v>Малейкин М. С.</v>
      </c>
      <c r="C47" s="22">
        <f ca="1">IFERROR(__xludf.DUMMYFUNCTION("""COMPUTED_VALUE"""),3.76)</f>
        <v>3.76</v>
      </c>
      <c r="D47" s="20" t="str">
        <f ca="1">IFERROR(__xludf.DUMMYFUNCTION("""COMPUTED_VALUE"""),"МА")</f>
        <v>МА</v>
      </c>
      <c r="E47" s="20" t="str">
        <f ca="1">IFERROR(__xludf.DUMMYFUNCTION("""COMPUTED_VALUE"""),"копия")</f>
        <v>копия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13.5" customHeight="1">
      <c r="A48" s="19">
        <v>42</v>
      </c>
      <c r="B48" s="19" t="str">
        <f ca="1">IFERROR(__xludf.DUMMYFUNCTION("""COMPUTED_VALUE"""),"Кириллов С.")</f>
        <v>Кириллов С.</v>
      </c>
      <c r="C48" s="20">
        <f ca="1">IFERROR(__xludf.DUMMYFUNCTION("""COMPUTED_VALUE"""),3.75)</f>
        <v>3.75</v>
      </c>
      <c r="D48" s="20" t="str">
        <f ca="1">IFERROR(__xludf.DUMMYFUNCTION("""COMPUTED_VALUE"""),"МА")</f>
        <v>МА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19">
        <v>43</v>
      </c>
      <c r="B49" s="19" t="str">
        <f ca="1">IFERROR(__xludf.DUMMYFUNCTION("""COMPUTED_VALUE"""),"Хакимов А.")</f>
        <v>Хакимов А.</v>
      </c>
      <c r="C49" s="20">
        <f ca="1">IFERROR(__xludf.DUMMYFUNCTION("""COMPUTED_VALUE"""),3.72)</f>
        <v>3.72</v>
      </c>
      <c r="D49" s="20" t="str">
        <f ca="1">IFERROR(__xludf.DUMMYFUNCTION("""COMPUTED_VALUE"""),"МА")</f>
        <v>МА</v>
      </c>
      <c r="E49" s="20" t="str">
        <f ca="1">IFERROR(__xludf.DUMMYFUNCTION("""COMPUTED_VALUE"""),"копия")</f>
        <v>копия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19">
        <v>44</v>
      </c>
      <c r="B50" s="19" t="str">
        <f ca="1">IFERROR(__xludf.DUMMYFUNCTION("""COMPUTED_VALUE"""),"Тереньтева М.")</f>
        <v>Тереньтева М.</v>
      </c>
      <c r="C50" s="20">
        <f ca="1">IFERROR(__xludf.DUMMYFUNCTION("""COMPUTED_VALUE"""),3.72)</f>
        <v>3.72</v>
      </c>
      <c r="D50" s="20" t="str">
        <f ca="1">IFERROR(__xludf.DUMMYFUNCTION("""COMPUTED_VALUE"""),"МА")</f>
        <v>МА</v>
      </c>
      <c r="E50" s="20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19">
        <v>45</v>
      </c>
      <c r="B51" s="19" t="str">
        <f ca="1">IFERROR(__xludf.DUMMYFUNCTION("""COMPUTED_VALUE"""),"Ивонин С.")</f>
        <v>Ивонин С.</v>
      </c>
      <c r="C51" s="20">
        <f ca="1">IFERROR(__xludf.DUMMYFUNCTION("""COMPUTED_VALUE"""),3.72)</f>
        <v>3.72</v>
      </c>
      <c r="D51" s="20" t="str">
        <f ca="1">IFERROR(__xludf.DUMMYFUNCTION("""COMPUTED_VALUE"""),"МА")</f>
        <v>МА</v>
      </c>
      <c r="E51" s="20" t="str">
        <f ca="1">IFERROR(__xludf.DUMMYFUNCTION("""COMPUTED_VALUE"""),"оригинал ")</f>
        <v xml:space="preserve">оригинал 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19">
        <v>46</v>
      </c>
      <c r="B52" s="19" t="str">
        <f ca="1">IFERROR(__xludf.DUMMYFUNCTION("""COMPUTED_VALUE"""),"Кузиванов Г.")</f>
        <v>Кузиванов Г.</v>
      </c>
      <c r="C52" s="20">
        <f ca="1">IFERROR(__xludf.DUMMYFUNCTION("""COMPUTED_VALUE"""),3.72)</f>
        <v>3.72</v>
      </c>
      <c r="D52" s="20" t="str">
        <f ca="1">IFERROR(__xludf.DUMMYFUNCTION("""COMPUTED_VALUE"""),"МА")</f>
        <v>МА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19">
        <v>47</v>
      </c>
      <c r="B53" s="19" t="str">
        <f ca="1">IFERROR(__xludf.DUMMYFUNCTION("""COMPUTED_VALUE"""),"Панасюк К.")</f>
        <v>Панасюк К.</v>
      </c>
      <c r="C53" s="23">
        <f ca="1">IFERROR(__xludf.DUMMYFUNCTION("""COMPUTED_VALUE"""),3.7)</f>
        <v>3.7</v>
      </c>
      <c r="D53" s="20" t="str">
        <f ca="1">IFERROR(__xludf.DUMMYFUNCTION("""COMPUTED_VALUE"""),"МА")</f>
        <v>МА</v>
      </c>
      <c r="E53" s="20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19">
        <v>48</v>
      </c>
      <c r="B54" s="19" t="str">
        <f ca="1">IFERROR(__xludf.DUMMYFUNCTION("""COMPUTED_VALUE"""),"Симаков М.П.")</f>
        <v>Симаков М.П.</v>
      </c>
      <c r="C54" s="22">
        <f ca="1">IFERROR(__xludf.DUMMYFUNCTION("""COMPUTED_VALUE"""),3.7)</f>
        <v>3.7</v>
      </c>
      <c r="D54" s="20" t="str">
        <f ca="1">IFERROR(__xludf.DUMMYFUNCTION("""COMPUTED_VALUE"""),"МА")</f>
        <v>МА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19">
        <v>49</v>
      </c>
      <c r="B55" s="19" t="str">
        <f ca="1">IFERROR(__xludf.DUMMYFUNCTION("""COMPUTED_VALUE"""),"Ушаков А.")</f>
        <v>Ушаков А.</v>
      </c>
      <c r="C55" s="20">
        <f ca="1">IFERROR(__xludf.DUMMYFUNCTION("""COMPUTED_VALUE"""),3.68)</f>
        <v>3.68</v>
      </c>
      <c r="D55" s="20" t="str">
        <f ca="1">IFERROR(__xludf.DUMMYFUNCTION("""COMPUTED_VALUE"""),"МА")</f>
        <v>МА</v>
      </c>
      <c r="E55" s="20" t="str">
        <f ca="1">IFERROR(__xludf.DUMMYFUNCTION("""COMPUTED_VALUE"""),"копия")</f>
        <v>копия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19">
        <v>50</v>
      </c>
      <c r="B56" s="19" t="str">
        <f ca="1">IFERROR(__xludf.DUMMYFUNCTION("""COMPUTED_VALUE"""),"Лодыгин Д. Р.")</f>
        <v>Лодыгин Д. Р.</v>
      </c>
      <c r="C56" s="22">
        <f ca="1">IFERROR(__xludf.DUMMYFUNCTION("""COMPUTED_VALUE"""),3.68)</f>
        <v>3.68</v>
      </c>
      <c r="D56" s="20" t="str">
        <f ca="1">IFERROR(__xludf.DUMMYFUNCTION("""COMPUTED_VALUE"""),"МА")</f>
        <v>МА</v>
      </c>
      <c r="E56" s="20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30">
        <v>51</v>
      </c>
      <c r="B57" s="19" t="str">
        <f ca="1">IFERROR(__xludf.DUMMYFUNCTION("""COMPUTED_VALUE"""),"Козлов Е.")</f>
        <v>Козлов Е.</v>
      </c>
      <c r="C57" s="20">
        <f ca="1">IFERROR(__xludf.DUMMYFUNCTION("""COMPUTED_VALUE"""),3.67)</f>
        <v>3.67</v>
      </c>
      <c r="D57" s="20" t="str">
        <f ca="1">IFERROR(__xludf.DUMMYFUNCTION("""COMPUTED_VALUE"""),"МА")</f>
        <v>МА</v>
      </c>
      <c r="E57" s="20" t="str">
        <f ca="1">IFERROR(__xludf.DUMMYFUNCTION("""COMPUTED_VALUE"""),"копия")</f>
        <v>копия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30">
        <v>52</v>
      </c>
      <c r="B58" s="19" t="str">
        <f ca="1">IFERROR(__xludf.DUMMYFUNCTION("""COMPUTED_VALUE"""),"Жилин Б.")</f>
        <v>Жилин Б.</v>
      </c>
      <c r="C58" s="20">
        <f ca="1">IFERROR(__xludf.DUMMYFUNCTION("""COMPUTED_VALUE"""),3.67)</f>
        <v>3.67</v>
      </c>
      <c r="D58" s="20" t="str">
        <f ca="1">IFERROR(__xludf.DUMMYFUNCTION("""COMPUTED_VALUE"""),"МА")</f>
        <v>МА</v>
      </c>
      <c r="E58" s="20" t="str">
        <f ca="1">IFERROR(__xludf.DUMMYFUNCTION("""COMPUTED_VALUE"""),"оригинал ")</f>
        <v xml:space="preserve">оригинал 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30">
        <v>53</v>
      </c>
      <c r="B59" s="19" t="str">
        <f ca="1">IFERROR(__xludf.DUMMYFUNCTION("""COMPUTED_VALUE"""),"Козлов Е.А.")</f>
        <v>Козлов Е.А.</v>
      </c>
      <c r="C59" s="22">
        <f ca="1">IFERROR(__xludf.DUMMYFUNCTION("""COMPUTED_VALUE"""),3.67)</f>
        <v>3.67</v>
      </c>
      <c r="D59" s="20" t="str">
        <f ca="1">IFERROR(__xludf.DUMMYFUNCTION("""COMPUTED_VALUE"""),"МА")</f>
        <v>МА</v>
      </c>
      <c r="E59" s="20" t="str">
        <f ca="1">IFERROR(__xludf.DUMMYFUNCTION("""COMPUTED_VALUE"""),"оригинал")</f>
        <v>оригинал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30">
        <v>54</v>
      </c>
      <c r="B60" s="19" t="str">
        <f ca="1">IFERROR(__xludf.DUMMYFUNCTION("""COMPUTED_VALUE"""),"Жеребцов В.")</f>
        <v>Жеребцов В.</v>
      </c>
      <c r="C60" s="20">
        <f ca="1">IFERROR(__xludf.DUMMYFUNCTION("""COMPUTED_VALUE"""),3.66)</f>
        <v>3.66</v>
      </c>
      <c r="D60" s="20" t="str">
        <f ca="1">IFERROR(__xludf.DUMMYFUNCTION("""COMPUTED_VALUE"""),"МА")</f>
        <v>МА</v>
      </c>
      <c r="E60" s="20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30">
        <v>55</v>
      </c>
      <c r="B61" s="19" t="str">
        <f ca="1">IFERROR(__xludf.DUMMYFUNCTION("""COMPUTED_VALUE"""),"Глушков А.")</f>
        <v>Глушков А.</v>
      </c>
      <c r="C61" s="20">
        <f ca="1">IFERROR(__xludf.DUMMYFUNCTION("""COMPUTED_VALUE"""),3.65)</f>
        <v>3.65</v>
      </c>
      <c r="D61" s="20" t="str">
        <f ca="1">IFERROR(__xludf.DUMMYFUNCTION("""COMPUTED_VALUE"""),"МА")</f>
        <v>МА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30">
        <v>56</v>
      </c>
      <c r="B62" s="19" t="str">
        <f ca="1">IFERROR(__xludf.DUMMYFUNCTION("""COMPUTED_VALUE"""),"Югов Н.")</f>
        <v>Югов Н.</v>
      </c>
      <c r="C62" s="20">
        <f ca="1">IFERROR(__xludf.DUMMYFUNCTION("""COMPUTED_VALUE"""),3.63)</f>
        <v>3.63</v>
      </c>
      <c r="D62" s="20" t="str">
        <f ca="1">IFERROR(__xludf.DUMMYFUNCTION("""COMPUTED_VALUE"""),"МА")</f>
        <v>МА</v>
      </c>
      <c r="E62" s="20" t="str">
        <f ca="1">IFERROR(__xludf.DUMMYFUNCTION("""COMPUTED_VALUE"""),"оригинал")</f>
        <v>оригинал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30">
        <v>57</v>
      </c>
      <c r="B63" s="19" t="str">
        <f ca="1">IFERROR(__xludf.DUMMYFUNCTION("""COMPUTED_VALUE"""),"Зорин Н.")</f>
        <v>Зорин Н.</v>
      </c>
      <c r="C63" s="20">
        <f ca="1">IFERROR(__xludf.DUMMYFUNCTION("""COMPUTED_VALUE"""),3.63)</f>
        <v>3.63</v>
      </c>
      <c r="D63" s="20" t="str">
        <f ca="1">IFERROR(__xludf.DUMMYFUNCTION("""COMPUTED_VALUE"""),"МА")</f>
        <v>МА</v>
      </c>
      <c r="E63" s="20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30">
        <v>58</v>
      </c>
      <c r="B64" s="19" t="str">
        <f ca="1">IFERROR(__xludf.DUMMYFUNCTION("""COMPUTED_VALUE"""),"Деменчук В.")</f>
        <v>Деменчук В.</v>
      </c>
      <c r="C64" s="20">
        <f ca="1">IFERROR(__xludf.DUMMYFUNCTION("""COMPUTED_VALUE"""),3.63)</f>
        <v>3.63</v>
      </c>
      <c r="D64" s="20" t="str">
        <f ca="1">IFERROR(__xludf.DUMMYFUNCTION("""COMPUTED_VALUE"""),"МА")</f>
        <v>МА</v>
      </c>
      <c r="E64" s="20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30">
        <v>59</v>
      </c>
      <c r="B65" s="19" t="str">
        <f ca="1">IFERROR(__xludf.DUMMYFUNCTION("""COMPUTED_VALUE"""),"Алдушина К.")</f>
        <v>Алдушина К.</v>
      </c>
      <c r="C65" s="20">
        <f ca="1">IFERROR(__xludf.DUMMYFUNCTION("""COMPUTED_VALUE"""),3.63)</f>
        <v>3.63</v>
      </c>
      <c r="D65" s="20" t="str">
        <f ca="1">IFERROR(__xludf.DUMMYFUNCTION("""COMPUTED_VALUE"""),"МА")</f>
        <v>МА</v>
      </c>
      <c r="E65" s="20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19" t="str">
        <f ca="1">IFERROR(__xludf.DUMMYFUNCTION("""COMPUTED_VALUE"""),"Мишарин О.")</f>
        <v>Мишарин О.</v>
      </c>
      <c r="C66" s="20">
        <f ca="1">IFERROR(__xludf.DUMMYFUNCTION("""COMPUTED_VALUE"""),3.63)</f>
        <v>3.63</v>
      </c>
      <c r="D66" s="20" t="str">
        <f ca="1">IFERROR(__xludf.DUMMYFUNCTION("""COMPUTED_VALUE"""),"МА")</f>
        <v>МА</v>
      </c>
      <c r="E66" s="20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19" t="str">
        <f ca="1">IFERROR(__xludf.DUMMYFUNCTION("""COMPUTED_VALUE"""),"Румянцев Д.")</f>
        <v>Румянцев Д.</v>
      </c>
      <c r="C67" s="23">
        <f ca="1">IFERROR(__xludf.DUMMYFUNCTION("""COMPUTED_VALUE"""),3.62)</f>
        <v>3.62</v>
      </c>
      <c r="D67" s="20" t="str">
        <f ca="1">IFERROR(__xludf.DUMMYFUNCTION("""COMPUTED_VALUE"""),"МА")</f>
        <v>МА</v>
      </c>
      <c r="E67" s="20" t="str">
        <f ca="1">IFERROR(__xludf.DUMMYFUNCTION("""COMPUTED_VALUE"""),"оригинал ")</f>
        <v xml:space="preserve">оригинал 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19" t="str">
        <f ca="1">IFERROR(__xludf.DUMMYFUNCTION("""COMPUTED_VALUE"""),"Канев Р. В.")</f>
        <v>Канев Р. В.</v>
      </c>
      <c r="C68" s="22">
        <f ca="1">IFERROR(__xludf.DUMMYFUNCTION("""COMPUTED_VALUE"""),3.61)</f>
        <v>3.61</v>
      </c>
      <c r="D68" s="20" t="str">
        <f ca="1">IFERROR(__xludf.DUMMYFUNCTION("""COMPUTED_VALUE"""),"МА")</f>
        <v>МА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19" t="str">
        <f ca="1">IFERROR(__xludf.DUMMYFUNCTION("""COMPUTED_VALUE"""),"Волков М.")</f>
        <v>Волков М.</v>
      </c>
      <c r="C69" s="20">
        <f ca="1">IFERROR(__xludf.DUMMYFUNCTION("""COMPUTED_VALUE"""),3.6)</f>
        <v>3.6</v>
      </c>
      <c r="D69" s="20" t="str">
        <f ca="1">IFERROR(__xludf.DUMMYFUNCTION("""COMPUTED_VALUE"""),"МА")</f>
        <v>МА</v>
      </c>
      <c r="E69" s="20" t="str">
        <f ca="1">IFERROR(__xludf.DUMMYFUNCTION("""COMPUTED_VALUE"""),"оригинал")</f>
        <v>оригинал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19" t="str">
        <f ca="1">IFERROR(__xludf.DUMMYFUNCTION("""COMPUTED_VALUE"""),"Исаев И.")</f>
        <v>Исаев И.</v>
      </c>
      <c r="C70" s="20">
        <f ca="1">IFERROR(__xludf.DUMMYFUNCTION("""COMPUTED_VALUE"""),3.58)</f>
        <v>3.58</v>
      </c>
      <c r="D70" s="6" t="str">
        <f ca="1">IFERROR(__xludf.DUMMYFUNCTION("""COMPUTED_VALUE"""),"МА")</f>
        <v>МА</v>
      </c>
      <c r="E70" s="20" t="str">
        <f ca="1">IFERROR(__xludf.DUMMYFUNCTION("""COMPUTED_VALUE"""),"оригинал")</f>
        <v>оригинал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19" t="str">
        <f ca="1">IFERROR(__xludf.DUMMYFUNCTION("""COMPUTED_VALUE"""),"Попова В.")</f>
        <v>Попова В.</v>
      </c>
      <c r="C71" s="23">
        <f ca="1">IFERROR(__xludf.DUMMYFUNCTION("""COMPUTED_VALUE"""),3.58)</f>
        <v>3.58</v>
      </c>
      <c r="D71" s="6" t="str">
        <f ca="1">IFERROR(__xludf.DUMMYFUNCTION("""COMPUTED_VALUE"""),"МА")</f>
        <v>МА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19" t="str">
        <f ca="1">IFERROR(__xludf.DUMMYFUNCTION("""COMPUTED_VALUE"""),"Зорин З.")</f>
        <v>Зорин З.</v>
      </c>
      <c r="C72" s="23">
        <f ca="1">IFERROR(__xludf.DUMMYFUNCTION("""COMPUTED_VALUE"""),3.57)</f>
        <v>3.57</v>
      </c>
      <c r="D72" s="6" t="str">
        <f ca="1">IFERROR(__xludf.DUMMYFUNCTION("""COMPUTED_VALUE"""),"МА")</f>
        <v>МА</v>
      </c>
      <c r="E72" s="20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19" t="str">
        <f ca="1">IFERROR(__xludf.DUMMYFUNCTION("""COMPUTED_VALUE"""),"Софин И.")</f>
        <v>Софин И.</v>
      </c>
      <c r="C73" s="20">
        <f ca="1">IFERROR(__xludf.DUMMYFUNCTION("""COMPUTED_VALUE"""),3.57)</f>
        <v>3.57</v>
      </c>
      <c r="D73" s="6" t="str">
        <f ca="1">IFERROR(__xludf.DUMMYFUNCTION("""COMPUTED_VALUE"""),"МА")</f>
        <v>МА</v>
      </c>
      <c r="E73" s="20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19" t="str">
        <f ca="1">IFERROR(__xludf.DUMMYFUNCTION("""COMPUTED_VALUE"""),"Тимушев М.")</f>
        <v>Тимушев М.</v>
      </c>
      <c r="C74" s="20">
        <f ca="1">IFERROR(__xludf.DUMMYFUNCTION("""COMPUTED_VALUE"""),3.56)</f>
        <v>3.56</v>
      </c>
      <c r="D74" s="6" t="str">
        <f ca="1">IFERROR(__xludf.DUMMYFUNCTION("""COMPUTED_VALUE"""),"МА")</f>
        <v>МА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19" t="str">
        <f ca="1">IFERROR(__xludf.DUMMYFUNCTION("""COMPUTED_VALUE"""),"Диланян Д.")</f>
        <v>Диланян Д.</v>
      </c>
      <c r="C75" s="23">
        <f ca="1">IFERROR(__xludf.DUMMYFUNCTION("""COMPUTED_VALUE"""),3.56)</f>
        <v>3.56</v>
      </c>
      <c r="D75" s="6" t="str">
        <f ca="1">IFERROR(__xludf.DUMMYFUNCTION("""COMPUTED_VALUE"""),"МА")</f>
        <v>МА</v>
      </c>
      <c r="E75" s="20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19" t="str">
        <f ca="1">IFERROR(__xludf.DUMMYFUNCTION("""COMPUTED_VALUE"""),"Тепляков С.")</f>
        <v>Тепляков С.</v>
      </c>
      <c r="C76" s="20">
        <f ca="1">IFERROR(__xludf.DUMMYFUNCTION("""COMPUTED_VALUE"""),3.56)</f>
        <v>3.56</v>
      </c>
      <c r="D76" s="6" t="str">
        <f ca="1">IFERROR(__xludf.DUMMYFUNCTION("""COMPUTED_VALUE"""),"МА")</f>
        <v>МА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19" t="str">
        <f ca="1">IFERROR(__xludf.DUMMYFUNCTION("""COMPUTED_VALUE"""),"Торлопов А.")</f>
        <v>Торлопов А.</v>
      </c>
      <c r="C77" s="20">
        <f ca="1">IFERROR(__xludf.DUMMYFUNCTION("""COMPUTED_VALUE"""),3.55)</f>
        <v>3.55</v>
      </c>
      <c r="D77" s="6" t="str">
        <f ca="1">IFERROR(__xludf.DUMMYFUNCTION("""COMPUTED_VALUE"""),"МА")</f>
        <v>МА</v>
      </c>
      <c r="E77" s="20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71</v>
      </c>
      <c r="B78" s="19" t="str">
        <f ca="1">IFERROR(__xludf.DUMMYFUNCTION("""COMPUTED_VALUE"""),"Пигулин И.")</f>
        <v>Пигулин И.</v>
      </c>
      <c r="C78" s="23">
        <f ca="1">IFERROR(__xludf.DUMMYFUNCTION("""COMPUTED_VALUE"""),3.55)</f>
        <v>3.55</v>
      </c>
      <c r="D78" s="6" t="str">
        <f ca="1">IFERROR(__xludf.DUMMYFUNCTION("""COMPUTED_VALUE"""),"МА")</f>
        <v>МА</v>
      </c>
      <c r="E78" s="20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72</v>
      </c>
      <c r="B79" s="19" t="str">
        <f ca="1">IFERROR(__xludf.DUMMYFUNCTION("""COMPUTED_VALUE"""),"Беляков М.")</f>
        <v>Беляков М.</v>
      </c>
      <c r="C79" s="20">
        <f ca="1">IFERROR(__xludf.DUMMYFUNCTION("""COMPUTED_VALUE"""),3.53)</f>
        <v>3.53</v>
      </c>
      <c r="D79" s="6" t="str">
        <f ca="1">IFERROR(__xludf.DUMMYFUNCTION("""COMPUTED_VALUE"""),"МА")</f>
        <v>МА</v>
      </c>
      <c r="E79" s="20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73</v>
      </c>
      <c r="B80" s="19" t="str">
        <f ca="1">IFERROR(__xludf.DUMMYFUNCTION("""COMPUTED_VALUE"""),"Генералов М.")</f>
        <v>Генералов М.</v>
      </c>
      <c r="C80" s="23">
        <f ca="1">IFERROR(__xludf.DUMMYFUNCTION("""COMPUTED_VALUE"""),3.53)</f>
        <v>3.53</v>
      </c>
      <c r="D80" s="6" t="str">
        <f ca="1">IFERROR(__xludf.DUMMYFUNCTION("""COMPUTED_VALUE"""),"МА")</f>
        <v>МА</v>
      </c>
      <c r="E80" s="20" t="str">
        <f ca="1">IFERROR(__xludf.DUMMYFUNCTION("""COMPUTED_VALUE"""),"копия")</f>
        <v>копия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74</v>
      </c>
      <c r="B81" s="19" t="str">
        <f ca="1">IFERROR(__xludf.DUMMYFUNCTION("""COMPUTED_VALUE"""),"Матвеев В. С.")</f>
        <v>Матвеев В. С.</v>
      </c>
      <c r="C81" s="22">
        <f ca="1">IFERROR(__xludf.DUMMYFUNCTION("""COMPUTED_VALUE"""),3.53)</f>
        <v>3.53</v>
      </c>
      <c r="D81" s="6" t="str">
        <f ca="1">IFERROR(__xludf.DUMMYFUNCTION("""COMPUTED_VALUE"""),"МА")</f>
        <v>МА</v>
      </c>
      <c r="E81" s="20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75</v>
      </c>
      <c r="B82" s="19" t="str">
        <f ca="1">IFERROR(__xludf.DUMMYFUNCTION("""COMPUTED_VALUE"""),"Шпульгин А.")</f>
        <v>Шпульгин А.</v>
      </c>
      <c r="C82" s="20">
        <f ca="1">IFERROR(__xludf.DUMMYFUNCTION("""COMPUTED_VALUE"""),3.52)</f>
        <v>3.52</v>
      </c>
      <c r="D82" s="6" t="str">
        <f ca="1">IFERROR(__xludf.DUMMYFUNCTION("""COMPUTED_VALUE"""),"МА")</f>
        <v>МА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76</v>
      </c>
      <c r="B83" s="19" t="str">
        <f ca="1">IFERROR(__xludf.DUMMYFUNCTION("""COMPUTED_VALUE"""),"Рассыхаева К.")</f>
        <v>Рассыхаева К.</v>
      </c>
      <c r="C83" s="23">
        <f ca="1">IFERROR(__xludf.DUMMYFUNCTION("""COMPUTED_VALUE"""),3.52)</f>
        <v>3.52</v>
      </c>
      <c r="D83" s="6" t="str">
        <f ca="1">IFERROR(__xludf.DUMMYFUNCTION("""COMPUTED_VALUE"""),"МА")</f>
        <v>МА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77</v>
      </c>
      <c r="B84" s="19" t="str">
        <f ca="1">IFERROR(__xludf.DUMMYFUNCTION("""COMPUTED_VALUE"""),"Ануфриев В.")</f>
        <v>Ануфриев В.</v>
      </c>
      <c r="C84" s="20">
        <f ca="1">IFERROR(__xludf.DUMMYFUNCTION("""COMPUTED_VALUE"""),3.52)</f>
        <v>3.52</v>
      </c>
      <c r="D84" s="6" t="str">
        <f ca="1">IFERROR(__xludf.DUMMYFUNCTION("""COMPUTED_VALUE"""),"МА")</f>
        <v>МА</v>
      </c>
      <c r="E84" s="20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78</v>
      </c>
      <c r="B85" s="19" t="str">
        <f ca="1">IFERROR(__xludf.DUMMYFUNCTION("""COMPUTED_VALUE"""),"Терентьева М.")</f>
        <v>Терентьева М.</v>
      </c>
      <c r="C85" s="20">
        <f ca="1">IFERROR(__xludf.DUMMYFUNCTION("""COMPUTED_VALUE"""),3.5)</f>
        <v>3.5</v>
      </c>
      <c r="D85" s="6" t="str">
        <f ca="1">IFERROR(__xludf.DUMMYFUNCTION("""COMPUTED_VALUE"""),"МА")</f>
        <v>МА</v>
      </c>
      <c r="E85" s="20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79</v>
      </c>
      <c r="B86" s="19" t="str">
        <f ca="1">IFERROR(__xludf.DUMMYFUNCTION("""COMPUTED_VALUE"""),"Кожевников А.")</f>
        <v>Кожевников А.</v>
      </c>
      <c r="C86" s="20">
        <f ca="1">IFERROR(__xludf.DUMMYFUNCTION("""COMPUTED_VALUE"""),3.5)</f>
        <v>3.5</v>
      </c>
      <c r="D86" s="6" t="str">
        <f ca="1">IFERROR(__xludf.DUMMYFUNCTION("""COMPUTED_VALUE"""),"МА")</f>
        <v>МА</v>
      </c>
      <c r="E86" s="20" t="str">
        <f ca="1">IFERROR(__xludf.DUMMYFUNCTION("""COMPUTED_VALUE"""),"копия")</f>
        <v>копия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80</v>
      </c>
      <c r="B87" s="19" t="str">
        <f ca="1">IFERROR(__xludf.DUMMYFUNCTION("""COMPUTED_VALUE"""),"Потапов Р.")</f>
        <v>Потапов Р.</v>
      </c>
      <c r="C87" s="20">
        <f ca="1">IFERROR(__xludf.DUMMYFUNCTION("""COMPUTED_VALUE"""),3.5)</f>
        <v>3.5</v>
      </c>
      <c r="D87" s="6" t="str">
        <f ca="1">IFERROR(__xludf.DUMMYFUNCTION("""COMPUTED_VALUE"""),"МА")</f>
        <v>МА</v>
      </c>
      <c r="E87" s="20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81</v>
      </c>
      <c r="B88" s="19" t="str">
        <f ca="1">IFERROR(__xludf.DUMMYFUNCTION("""COMPUTED_VALUE"""),"Плосков Е.")</f>
        <v>Плосков Е.</v>
      </c>
      <c r="C88" s="20">
        <f ca="1">IFERROR(__xludf.DUMMYFUNCTION("""COMPUTED_VALUE"""),3.5)</f>
        <v>3.5</v>
      </c>
      <c r="D88" s="6" t="str">
        <f ca="1">IFERROR(__xludf.DUMMYFUNCTION("""COMPUTED_VALUE"""),"МА")</f>
        <v>МА</v>
      </c>
      <c r="E88" s="20" t="str">
        <f ca="1">IFERROR(__xludf.DUMMYFUNCTION("""COMPUTED_VALUE"""),"копия")</f>
        <v>копия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82</v>
      </c>
      <c r="B89" s="19" t="str">
        <f ca="1">IFERROR(__xludf.DUMMYFUNCTION("""COMPUTED_VALUE"""),"Леонов К. В.")</f>
        <v>Леонов К. В.</v>
      </c>
      <c r="C89" s="22">
        <f ca="1">IFERROR(__xludf.DUMMYFUNCTION("""COMPUTED_VALUE"""),3.5)</f>
        <v>3.5</v>
      </c>
      <c r="D89" s="6" t="str">
        <f ca="1">IFERROR(__xludf.DUMMYFUNCTION("""COMPUTED_VALUE"""),"МА")</f>
        <v>МА</v>
      </c>
      <c r="E89" s="20" t="str">
        <f ca="1">IFERROR(__xludf.DUMMYFUNCTION("""COMPUTED_VALUE"""),"оригинал ")</f>
        <v xml:space="preserve">оригинал 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83</v>
      </c>
      <c r="B90" s="19" t="str">
        <f ca="1">IFERROR(__xludf.DUMMYFUNCTION("""COMPUTED_VALUE"""),"Изъюров Н.Д.")</f>
        <v>Изъюров Н.Д.</v>
      </c>
      <c r="C90" s="22">
        <f ca="1">IFERROR(__xludf.DUMMYFUNCTION("""COMPUTED_VALUE"""),3.5)</f>
        <v>3.5</v>
      </c>
      <c r="D90" s="6" t="str">
        <f ca="1">IFERROR(__xludf.DUMMYFUNCTION("""COMPUTED_VALUE"""),"МА")</f>
        <v>МА</v>
      </c>
      <c r="E90" s="20" t="str">
        <f ca="1">IFERROR(__xludf.DUMMYFUNCTION("""COMPUTED_VALUE"""),"копия")</f>
        <v>копия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84</v>
      </c>
      <c r="B91" s="19" t="str">
        <f ca="1">IFERROR(__xludf.DUMMYFUNCTION("""COMPUTED_VALUE"""),"Потапов Р. А.")</f>
        <v>Потапов Р. А.</v>
      </c>
      <c r="C91" s="22">
        <f ca="1">IFERROR(__xludf.DUMMYFUNCTION("""COMPUTED_VALUE"""),3.5)</f>
        <v>3.5</v>
      </c>
      <c r="D91" s="6" t="str">
        <f ca="1">IFERROR(__xludf.DUMMYFUNCTION("""COMPUTED_VALUE"""),"МА")</f>
        <v>МА</v>
      </c>
      <c r="E91" s="20" t="str">
        <f ca="1">IFERROR(__xludf.DUMMYFUNCTION("""COMPUTED_VALUE"""),"оригинал")</f>
        <v>оригинал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85</v>
      </c>
      <c r="B92" s="19" t="str">
        <f ca="1">IFERROR(__xludf.DUMMYFUNCTION("""COMPUTED_VALUE"""),"Плосков Е.В.")</f>
        <v>Плосков Е.В.</v>
      </c>
      <c r="C92" s="20">
        <f ca="1">IFERROR(__xludf.DUMMYFUNCTION("""COMPUTED_VALUE"""),3.5)</f>
        <v>3.5</v>
      </c>
      <c r="D92" s="6" t="str">
        <f ca="1">IFERROR(__xludf.DUMMYFUNCTION("""COMPUTED_VALUE"""),"МА")</f>
        <v>МА</v>
      </c>
      <c r="E92" s="20" t="str">
        <f ca="1">IFERROR(__xludf.DUMMYFUNCTION("""COMPUTED_VALUE"""),"оригинал")</f>
        <v>оригинал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86</v>
      </c>
      <c r="B93" s="19" t="str">
        <f ca="1">IFERROR(__xludf.DUMMYFUNCTION("""COMPUTED_VALUE"""),"Дуркина Е.")</f>
        <v>Дуркина Е.</v>
      </c>
      <c r="C93" s="20">
        <f ca="1">IFERROR(__xludf.DUMMYFUNCTION("""COMPUTED_VALUE"""),3.47)</f>
        <v>3.47</v>
      </c>
      <c r="D93" s="6" t="str">
        <f ca="1">IFERROR(__xludf.DUMMYFUNCTION("""COMPUTED_VALUE"""),"МА")</f>
        <v>МА</v>
      </c>
      <c r="E93" s="20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87</v>
      </c>
      <c r="B94" s="19" t="str">
        <f ca="1">IFERROR(__xludf.DUMMYFUNCTION("""COMPUTED_VALUE"""),"Жебов А.")</f>
        <v>Жебов А.</v>
      </c>
      <c r="C94" s="20">
        <f ca="1">IFERROR(__xludf.DUMMYFUNCTION("""COMPUTED_VALUE"""),3.47)</f>
        <v>3.47</v>
      </c>
      <c r="D94" s="6" t="str">
        <f ca="1">IFERROR(__xludf.DUMMYFUNCTION("""COMPUTED_VALUE"""),"МА")</f>
        <v>МА</v>
      </c>
      <c r="E94" s="20" t="str">
        <f ca="1">IFERROR(__xludf.DUMMYFUNCTION("""COMPUTED_VALUE"""),"копия")</f>
        <v>копия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88</v>
      </c>
      <c r="B95" s="19" t="str">
        <f ca="1">IFERROR(__xludf.DUMMYFUNCTION("""COMPUTED_VALUE"""),"Иевлев А.")</f>
        <v>Иевлев А.</v>
      </c>
      <c r="C95" s="23">
        <f ca="1">IFERROR(__xludf.DUMMYFUNCTION("""COMPUTED_VALUE"""),3.47)</f>
        <v>3.47</v>
      </c>
      <c r="D95" s="6" t="str">
        <f ca="1">IFERROR(__xludf.DUMMYFUNCTION("""COMPUTED_VALUE"""),"МА")</f>
        <v>МА</v>
      </c>
      <c r="E95" s="20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89</v>
      </c>
      <c r="B96" s="19" t="str">
        <f ca="1">IFERROR(__xludf.DUMMYFUNCTION("""COMPUTED_VALUE"""),"Оплеснин Д.")</f>
        <v>Оплеснин Д.</v>
      </c>
      <c r="C96" s="20">
        <f ca="1">IFERROR(__xludf.DUMMYFUNCTION("""COMPUTED_VALUE"""),3.47)</f>
        <v>3.47</v>
      </c>
      <c r="D96" s="6" t="str">
        <f ca="1">IFERROR(__xludf.DUMMYFUNCTION("""COMPUTED_VALUE"""),"МА")</f>
        <v>МА</v>
      </c>
      <c r="E96" s="20" t="str">
        <f ca="1">IFERROR(__xludf.DUMMYFUNCTION("""COMPUTED_VALUE"""),"копия")</f>
        <v>копия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6" ht="13.5" customHeight="1">
      <c r="A97" s="30">
        <v>90</v>
      </c>
      <c r="B97" s="19" t="str">
        <f ca="1">IFERROR(__xludf.DUMMYFUNCTION("""COMPUTED_VALUE"""),"Цуманкова А.")</f>
        <v>Цуманкова А.</v>
      </c>
      <c r="C97" s="20">
        <f ca="1">IFERROR(__xludf.DUMMYFUNCTION("""COMPUTED_VALUE"""),3.47)</f>
        <v>3.47</v>
      </c>
      <c r="D97" s="6" t="str">
        <f ca="1">IFERROR(__xludf.DUMMYFUNCTION("""COMPUTED_VALUE"""),"МА")</f>
        <v>МА</v>
      </c>
      <c r="E97" s="20" t="str">
        <f ca="1">IFERROR(__xludf.DUMMYFUNCTION("""COMPUTED_VALUE"""),"копия")</f>
        <v>копия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6" ht="13.5" customHeight="1">
      <c r="A98" s="30">
        <v>91</v>
      </c>
      <c r="B98" s="19" t="str">
        <f ca="1">IFERROR(__xludf.DUMMYFUNCTION("""COMPUTED_VALUE"""),"Чегесов А.")</f>
        <v>Чегесов А.</v>
      </c>
      <c r="C98" s="20">
        <f ca="1">IFERROR(__xludf.DUMMYFUNCTION("""COMPUTED_VALUE"""),3.47)</f>
        <v>3.47</v>
      </c>
      <c r="D98" s="6" t="str">
        <f ca="1">IFERROR(__xludf.DUMMYFUNCTION("""COMPUTED_VALUE"""),"МА")</f>
        <v>МА</v>
      </c>
      <c r="E98" s="20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6" ht="13.5" customHeight="1">
      <c r="A99" s="30">
        <v>92</v>
      </c>
      <c r="B99" s="19" t="str">
        <f ca="1">IFERROR(__xludf.DUMMYFUNCTION("""COMPUTED_VALUE"""),"Михайлов Ю. А.")</f>
        <v>Михайлов Ю. А.</v>
      </c>
      <c r="C99" s="22">
        <f ca="1">IFERROR(__xludf.DUMMYFUNCTION("""COMPUTED_VALUE"""),3.47)</f>
        <v>3.47</v>
      </c>
      <c r="D99" s="6" t="str">
        <f ca="1">IFERROR(__xludf.DUMMYFUNCTION("""COMPUTED_VALUE"""),"МА")</f>
        <v>МА</v>
      </c>
      <c r="E99" s="20" t="str">
        <f ca="1">IFERROR(__xludf.DUMMYFUNCTION("""COMPUTED_VALUE"""),"оригинал")</f>
        <v>оригинал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6" ht="13.5" customHeight="1">
      <c r="A100" s="30">
        <v>93</v>
      </c>
      <c r="B100" s="19" t="str">
        <f ca="1">IFERROR(__xludf.DUMMYFUNCTION("""COMPUTED_VALUE"""),"Кононов А.")</f>
        <v>Кононов А.</v>
      </c>
      <c r="C100" s="20">
        <f ca="1">IFERROR(__xludf.DUMMYFUNCTION("""COMPUTED_VALUE"""),3.45)</f>
        <v>3.45</v>
      </c>
      <c r="D100" s="6" t="str">
        <f ca="1">IFERROR(__xludf.DUMMYFUNCTION("""COMPUTED_VALUE"""),"МА")</f>
        <v>МА</v>
      </c>
      <c r="E100" s="20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6" ht="13.5" customHeight="1">
      <c r="A101" s="30">
        <v>94</v>
      </c>
      <c r="B101" s="19" t="str">
        <f ca="1">IFERROR(__xludf.DUMMYFUNCTION("""COMPUTED_VALUE"""),"Черняев М.")</f>
        <v>Черняев М.</v>
      </c>
      <c r="C101" s="23">
        <f ca="1">IFERROR(__xludf.DUMMYFUNCTION("""COMPUTED_VALUE"""),3.44)</f>
        <v>3.44</v>
      </c>
      <c r="D101" s="6" t="str">
        <f ca="1">IFERROR(__xludf.DUMMYFUNCTION("""COMPUTED_VALUE"""),"МА")</f>
        <v>МА</v>
      </c>
      <c r="E101" s="20" t="str">
        <f ca="1">IFERROR(__xludf.DUMMYFUNCTION("""COMPUTED_VALUE"""),"копия")</f>
        <v>копия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6" ht="13.5" customHeight="1">
      <c r="A102" s="30">
        <v>95</v>
      </c>
      <c r="B102" s="19" t="str">
        <f ca="1">IFERROR(__xludf.DUMMYFUNCTION("""COMPUTED_VALUE"""),"Казаку Г.")</f>
        <v>Казаку Г.</v>
      </c>
      <c r="C102" s="20">
        <f ca="1">IFERROR(__xludf.DUMMYFUNCTION("""COMPUTED_VALUE"""),3.44)</f>
        <v>3.44</v>
      </c>
      <c r="D102" s="6" t="str">
        <f ca="1">IFERROR(__xludf.DUMMYFUNCTION("""COMPUTED_VALUE"""),"МА")</f>
        <v>МА</v>
      </c>
      <c r="E102" s="20" t="str">
        <f ca="1">IFERROR(__xludf.DUMMYFUNCTION("""COMPUTED_VALUE"""),"копия")</f>
        <v>копия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6" ht="13.5" customHeight="1">
      <c r="A103" s="30">
        <v>96</v>
      </c>
      <c r="B103" s="19" t="str">
        <f ca="1">IFERROR(__xludf.DUMMYFUNCTION("""COMPUTED_VALUE"""),"Осипов М.")</f>
        <v>Осипов М.</v>
      </c>
      <c r="C103" s="20">
        <f ca="1">IFERROR(__xludf.DUMMYFUNCTION("""COMPUTED_VALUE"""),3.44)</f>
        <v>3.44</v>
      </c>
      <c r="D103" s="6" t="str">
        <f ca="1">IFERROR(__xludf.DUMMYFUNCTION("""COMPUTED_VALUE"""),"МА")</f>
        <v>МА</v>
      </c>
      <c r="E103" s="20" t="str">
        <f ca="1">IFERROR(__xludf.DUMMYFUNCTION("""COMPUTED_VALUE"""),"копия")</f>
        <v>копия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6" ht="13.5" customHeight="1">
      <c r="A104" s="30">
        <v>97</v>
      </c>
      <c r="B104" s="19" t="str">
        <f ca="1">IFERROR(__xludf.DUMMYFUNCTION("""COMPUTED_VALUE"""),"Изъюров Р.")</f>
        <v>Изъюров Р.</v>
      </c>
      <c r="C104" s="23">
        <f ca="1">IFERROR(__xludf.DUMMYFUNCTION("""COMPUTED_VALUE"""),3.44)</f>
        <v>3.44</v>
      </c>
      <c r="D104" s="6" t="str">
        <f ca="1">IFERROR(__xludf.DUMMYFUNCTION("""COMPUTED_VALUE"""),"МА")</f>
        <v>МА</v>
      </c>
      <c r="E104" s="20" t="str">
        <f ca="1">IFERROR(__xludf.DUMMYFUNCTION("""COMPUTED_VALUE"""),"оригинал ")</f>
        <v xml:space="preserve">оригинал 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6" ht="13.5" customHeight="1">
      <c r="A105" s="30">
        <v>98</v>
      </c>
      <c r="B105" s="19" t="str">
        <f ca="1">IFERROR(__xludf.DUMMYFUNCTION("""COMPUTED_VALUE"""),"Девятков А.")</f>
        <v>Девятков А.</v>
      </c>
      <c r="C105" s="20">
        <f ca="1">IFERROR(__xludf.DUMMYFUNCTION("""COMPUTED_VALUE"""),3.44)</f>
        <v>3.44</v>
      </c>
      <c r="D105" s="6" t="str">
        <f ca="1">IFERROR(__xludf.DUMMYFUNCTION("""COMPUTED_VALUE"""),"МА")</f>
        <v>МА</v>
      </c>
      <c r="E105" s="20" t="str">
        <f ca="1">IFERROR(__xludf.DUMMYFUNCTION("""COMPUTED_VALUE"""),"копия")</f>
        <v>копия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6" ht="13.5" customHeight="1">
      <c r="A106" s="30">
        <v>99</v>
      </c>
      <c r="B106" s="19" t="str">
        <f ca="1">IFERROR(__xludf.DUMMYFUNCTION("""COMPUTED_VALUE"""),"Снотчек С.")</f>
        <v>Снотчек С.</v>
      </c>
      <c r="C106" s="23">
        <f ca="1">IFERROR(__xludf.DUMMYFUNCTION("""COMPUTED_VALUE"""),3.44)</f>
        <v>3.44</v>
      </c>
      <c r="D106" s="6" t="str">
        <f ca="1">IFERROR(__xludf.DUMMYFUNCTION("""COMPUTED_VALUE"""),"МА")</f>
        <v>МА</v>
      </c>
      <c r="E106" s="20" t="str">
        <f ca="1">IFERROR(__xludf.DUMMYFUNCTION("""COMPUTED_VALUE"""),"оригинал ")</f>
        <v xml:space="preserve">оригинал 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6" ht="13.5" customHeight="1">
      <c r="A107" s="30">
        <v>100</v>
      </c>
      <c r="B107" s="19" t="str">
        <f ca="1">IFERROR(__xludf.DUMMYFUNCTION("""COMPUTED_VALUE"""),"Попов Р.")</f>
        <v>Попов Р.</v>
      </c>
      <c r="C107" s="23">
        <f ca="1">IFERROR(__xludf.DUMMYFUNCTION("""COMPUTED_VALUE"""),3.42)</f>
        <v>3.42</v>
      </c>
      <c r="D107" s="6" t="str">
        <f ca="1">IFERROR(__xludf.DUMMYFUNCTION("""COMPUTED_VALUE"""),"МА")</f>
        <v>МА</v>
      </c>
      <c r="E107" s="20" t="str">
        <f ca="1">IFERROR(__xludf.DUMMYFUNCTION("""COMPUTED_VALUE"""),"копия")</f>
        <v>копия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customHeight="1">
      <c r="A108" s="30">
        <v>101</v>
      </c>
      <c r="B108" s="19" t="str">
        <f ca="1">IFERROR(__xludf.DUMMYFUNCTION("""COMPUTED_VALUE"""),"Гущин Д.")</f>
        <v>Гущин Д.</v>
      </c>
      <c r="C108" s="20">
        <f ca="1">IFERROR(__xludf.DUMMYFUNCTION("""COMPUTED_VALUE"""),3.42)</f>
        <v>3.42</v>
      </c>
      <c r="D108" s="6" t="str">
        <f ca="1">IFERROR(__xludf.DUMMYFUNCTION("""COMPUTED_VALUE"""),"МА")</f>
        <v>МА</v>
      </c>
      <c r="E108" s="20" t="str">
        <f ca="1">IFERROR(__xludf.DUMMYFUNCTION("""COMPUTED_VALUE"""),"оригинал")</f>
        <v>оригинал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5" customHeight="1">
      <c r="A109" s="30">
        <v>102</v>
      </c>
      <c r="B109" s="19" t="str">
        <f ca="1">IFERROR(__xludf.DUMMYFUNCTION("""COMPUTED_VALUE"""),"Нефедов А.")</f>
        <v>Нефедов А.</v>
      </c>
      <c r="C109" s="20">
        <f ca="1">IFERROR(__xludf.DUMMYFUNCTION("""COMPUTED_VALUE"""),3.4)</f>
        <v>3.4</v>
      </c>
      <c r="D109" s="6" t="str">
        <f ca="1">IFERROR(__xludf.DUMMYFUNCTION("""COMPUTED_VALUE"""),"МА")</f>
        <v>МА</v>
      </c>
      <c r="E109" s="20" t="str">
        <f ca="1">IFERROR(__xludf.DUMMYFUNCTION("""COMPUTED_VALUE"""),"копия")</f>
        <v>копия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5" customHeight="1">
      <c r="A110" s="30">
        <v>103</v>
      </c>
      <c r="B110" s="19" t="str">
        <f ca="1">IFERROR(__xludf.DUMMYFUNCTION("""COMPUTED_VALUE"""),"Максимов В.")</f>
        <v>Максимов В.</v>
      </c>
      <c r="C110" s="23">
        <f ca="1">IFERROR(__xludf.DUMMYFUNCTION("""COMPUTED_VALUE"""),3.4)</f>
        <v>3.4</v>
      </c>
      <c r="D110" s="6" t="str">
        <f ca="1">IFERROR(__xludf.DUMMYFUNCTION("""COMPUTED_VALUE"""),"МА")</f>
        <v>МА</v>
      </c>
      <c r="E110" s="20" t="str">
        <f ca="1">IFERROR(__xludf.DUMMYFUNCTION("""COMPUTED_VALUE"""),"оригинал ")</f>
        <v xml:space="preserve">оригинал 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5" customHeight="1">
      <c r="A111" s="30">
        <v>104</v>
      </c>
      <c r="B111" s="19" t="str">
        <f ca="1">IFERROR(__xludf.DUMMYFUNCTION("""COMPUTED_VALUE"""),"Нефедов А. А.")</f>
        <v>Нефедов А. А.</v>
      </c>
      <c r="C111" s="20">
        <f ca="1">IFERROR(__xludf.DUMMYFUNCTION("""COMPUTED_VALUE"""),3.4)</f>
        <v>3.4</v>
      </c>
      <c r="D111" s="6" t="str">
        <f ca="1">IFERROR(__xludf.DUMMYFUNCTION("""COMPUTED_VALUE"""),"МА")</f>
        <v>МА</v>
      </c>
      <c r="E111" s="20" t="str">
        <f ca="1">IFERROR(__xludf.DUMMYFUNCTION("""COMPUTED_VALUE"""),"оригинал")</f>
        <v>оригинал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5" customHeight="1">
      <c r="A112" s="30">
        <v>105</v>
      </c>
      <c r="B112" s="19" t="str">
        <f ca="1">IFERROR(__xludf.DUMMYFUNCTION("""COMPUTED_VALUE"""),"Баранов Л.")</f>
        <v>Баранов Л.</v>
      </c>
      <c r="C112" s="23">
        <f ca="1">IFERROR(__xludf.DUMMYFUNCTION("""COMPUTED_VALUE"""),3.39)</f>
        <v>3.39</v>
      </c>
      <c r="D112" s="6" t="str">
        <f ca="1">IFERROR(__xludf.DUMMYFUNCTION("""COMPUTED_VALUE"""),"МА")</f>
        <v>МА</v>
      </c>
      <c r="E112" s="20" t="str">
        <f ca="1">IFERROR(__xludf.DUMMYFUNCTION("""COMPUTED_VALUE"""),"копия")</f>
        <v>копия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5" customHeight="1">
      <c r="A113" s="30">
        <v>106</v>
      </c>
      <c r="B113" s="19" t="str">
        <f ca="1">IFERROR(__xludf.DUMMYFUNCTION("""COMPUTED_VALUE"""),"Морозов Н.")</f>
        <v>Морозов Н.</v>
      </c>
      <c r="C113" s="20">
        <f ca="1">IFERROR(__xludf.DUMMYFUNCTION("""COMPUTED_VALUE"""),3.39)</f>
        <v>3.39</v>
      </c>
      <c r="D113" s="6" t="str">
        <f ca="1">IFERROR(__xludf.DUMMYFUNCTION("""COMPUTED_VALUE"""),"МА")</f>
        <v>МА</v>
      </c>
      <c r="E113" s="20" t="str">
        <f ca="1">IFERROR(__xludf.DUMMYFUNCTION("""COMPUTED_VALUE"""),"копия")</f>
        <v>копия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customHeight="1">
      <c r="A114" s="30">
        <v>107</v>
      </c>
      <c r="B114" s="19" t="str">
        <f ca="1">IFERROR(__xludf.DUMMYFUNCTION("""COMPUTED_VALUE"""),"Гаврилюк К.")</f>
        <v>Гаврилюк К.</v>
      </c>
      <c r="C114" s="20">
        <f ca="1">IFERROR(__xludf.DUMMYFUNCTION("""COMPUTED_VALUE"""),3.38)</f>
        <v>3.38</v>
      </c>
      <c r="D114" s="6" t="str">
        <f ca="1">IFERROR(__xludf.DUMMYFUNCTION("""COMPUTED_VALUE"""),"МА")</f>
        <v>МА</v>
      </c>
      <c r="E114" s="20" t="str">
        <f ca="1">IFERROR(__xludf.DUMMYFUNCTION("""COMPUTED_VALUE"""),"копия")</f>
        <v>копия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customHeight="1">
      <c r="A115" s="30">
        <v>108</v>
      </c>
      <c r="B115" s="19" t="str">
        <f ca="1">IFERROR(__xludf.DUMMYFUNCTION("""COMPUTED_VALUE"""),"Булатов В.")</f>
        <v>Булатов В.</v>
      </c>
      <c r="C115" s="20">
        <f ca="1">IFERROR(__xludf.DUMMYFUNCTION("""COMPUTED_VALUE"""),3.38)</f>
        <v>3.38</v>
      </c>
      <c r="D115" s="6" t="str">
        <f ca="1">IFERROR(__xludf.DUMMYFUNCTION("""COMPUTED_VALUE"""),"МА")</f>
        <v>МА</v>
      </c>
      <c r="E115" s="20" t="str">
        <f ca="1">IFERROR(__xludf.DUMMYFUNCTION("""COMPUTED_VALUE"""),"копия")</f>
        <v>копия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customHeight="1">
      <c r="A116" s="30">
        <v>109</v>
      </c>
      <c r="B116" s="19" t="str">
        <f ca="1">IFERROR(__xludf.DUMMYFUNCTION("""COMPUTED_VALUE"""),"Рябов А. С.")</f>
        <v>Рябов А. С.</v>
      </c>
      <c r="C116" s="22">
        <f ca="1">IFERROR(__xludf.DUMMYFUNCTION("""COMPUTED_VALUE"""),3.37)</f>
        <v>3.37</v>
      </c>
      <c r="D116" s="6" t="str">
        <f ca="1">IFERROR(__xludf.DUMMYFUNCTION("""COMPUTED_VALUE"""),"МА")</f>
        <v>МА</v>
      </c>
      <c r="E116" s="20" t="str">
        <f ca="1">IFERROR(__xludf.DUMMYFUNCTION("""COMPUTED_VALUE"""),"копия")</f>
        <v>копия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customHeight="1">
      <c r="A117" s="30">
        <v>110</v>
      </c>
      <c r="B117" s="19" t="str">
        <f ca="1">IFERROR(__xludf.DUMMYFUNCTION("""COMPUTED_VALUE"""),"Мишарин М.")</f>
        <v>Мишарин М.</v>
      </c>
      <c r="C117" s="23">
        <f ca="1">IFERROR(__xludf.DUMMYFUNCTION("""COMPUTED_VALUE"""),3.36)</f>
        <v>3.36</v>
      </c>
      <c r="D117" s="6" t="str">
        <f ca="1">IFERROR(__xludf.DUMMYFUNCTION("""COMPUTED_VALUE"""),"МА")</f>
        <v>МА</v>
      </c>
      <c r="E117" s="20" t="str">
        <f ca="1">IFERROR(__xludf.DUMMYFUNCTION("""COMPUTED_VALUE"""),"копия")</f>
        <v>копия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customHeight="1">
      <c r="A118" s="30">
        <v>111</v>
      </c>
      <c r="B118" s="19" t="str">
        <f ca="1">IFERROR(__xludf.DUMMYFUNCTION("""COMPUTED_VALUE"""),"Ракин Д.")</f>
        <v>Ракин Д.</v>
      </c>
      <c r="C118" s="23">
        <f ca="1">IFERROR(__xludf.DUMMYFUNCTION("""COMPUTED_VALUE"""),3.36)</f>
        <v>3.36</v>
      </c>
      <c r="D118" s="6" t="str">
        <f ca="1">IFERROR(__xludf.DUMMYFUNCTION("""COMPUTED_VALUE"""),"МА")</f>
        <v>МА</v>
      </c>
      <c r="E118" s="20" t="str">
        <f ca="1">IFERROR(__xludf.DUMMYFUNCTION("""COMPUTED_VALUE"""),"оригинал ")</f>
        <v xml:space="preserve">оригинал 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customHeight="1">
      <c r="A119" s="30">
        <v>112</v>
      </c>
      <c r="B119" s="19" t="str">
        <f ca="1">IFERROR(__xludf.DUMMYFUNCTION("""COMPUTED_VALUE"""),"Артаманов А.")</f>
        <v>Артаманов А.</v>
      </c>
      <c r="C119" s="20">
        <f ca="1">IFERROR(__xludf.DUMMYFUNCTION("""COMPUTED_VALUE"""),3.35)</f>
        <v>3.35</v>
      </c>
      <c r="D119" s="6" t="str">
        <f ca="1">IFERROR(__xludf.DUMMYFUNCTION("""COMPUTED_VALUE"""),"МА")</f>
        <v>МА</v>
      </c>
      <c r="E119" s="20" t="str">
        <f ca="1">IFERROR(__xludf.DUMMYFUNCTION("""COMPUTED_VALUE"""),"копия")</f>
        <v>копия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customHeight="1">
      <c r="A120" s="30">
        <v>113</v>
      </c>
      <c r="B120" s="19" t="str">
        <f ca="1">IFERROR(__xludf.DUMMYFUNCTION("""COMPUTED_VALUE"""),"Сердитов
 Д.")</f>
        <v>Сердитов
 Д.</v>
      </c>
      <c r="C120" s="20">
        <f ca="1">IFERROR(__xludf.DUMMYFUNCTION("""COMPUTED_VALUE"""),3.35)</f>
        <v>3.35</v>
      </c>
      <c r="D120" s="6" t="str">
        <f ca="1">IFERROR(__xludf.DUMMYFUNCTION("""COMPUTED_VALUE"""),"МА")</f>
        <v>МА</v>
      </c>
      <c r="E120" s="20" t="str">
        <f ca="1">IFERROR(__xludf.DUMMYFUNCTION("""COMPUTED_VALUE"""),"копия")</f>
        <v>копия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customHeight="1">
      <c r="A121" s="30">
        <v>114</v>
      </c>
      <c r="B121" s="19" t="str">
        <f ca="1">IFERROR(__xludf.DUMMYFUNCTION("""COMPUTED_VALUE"""),"Манзадей В.")</f>
        <v>Манзадей В.</v>
      </c>
      <c r="C121" s="20">
        <f ca="1">IFERROR(__xludf.DUMMYFUNCTION("""COMPUTED_VALUE"""),3.33)</f>
        <v>3.33</v>
      </c>
      <c r="D121" s="6" t="str">
        <f ca="1">IFERROR(__xludf.DUMMYFUNCTION("""COMPUTED_VALUE"""),"МА")</f>
        <v>МА</v>
      </c>
      <c r="E121" s="20" t="str">
        <f ca="1">IFERROR(__xludf.DUMMYFUNCTION("""COMPUTED_VALUE"""),"копия")</f>
        <v>копия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customHeight="1">
      <c r="A122" s="30">
        <v>115</v>
      </c>
      <c r="B122" s="19" t="str">
        <f ca="1">IFERROR(__xludf.DUMMYFUNCTION("""COMPUTED_VALUE"""),"Старостенко К. Е.")</f>
        <v>Старостенко К. Е.</v>
      </c>
      <c r="C122" s="22">
        <f ca="1">IFERROR(__xludf.DUMMYFUNCTION("""COMPUTED_VALUE"""),3.33)</f>
        <v>3.33</v>
      </c>
      <c r="D122" s="6" t="str">
        <f ca="1">IFERROR(__xludf.DUMMYFUNCTION("""COMPUTED_VALUE"""),"МА")</f>
        <v>МА</v>
      </c>
      <c r="E122" s="20" t="str">
        <f ca="1">IFERROR(__xludf.DUMMYFUNCTION("""COMPUTED_VALUE"""),"копия")</f>
        <v>копия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customHeight="1">
      <c r="A123" s="30">
        <v>116</v>
      </c>
      <c r="B123" s="19" t="str">
        <f ca="1">IFERROR(__xludf.DUMMYFUNCTION("""COMPUTED_VALUE"""),"Петров А.")</f>
        <v>Петров А.</v>
      </c>
      <c r="C123" s="20">
        <f ca="1">IFERROR(__xludf.DUMMYFUNCTION("""COMPUTED_VALUE"""),3.32)</f>
        <v>3.32</v>
      </c>
      <c r="D123" s="6" t="str">
        <f ca="1">IFERROR(__xludf.DUMMYFUNCTION("""COMPUTED_VALUE"""),"МА")</f>
        <v>МА</v>
      </c>
      <c r="E123" s="20" t="str">
        <f ca="1">IFERROR(__xludf.DUMMYFUNCTION("""COMPUTED_VALUE"""),"копия")</f>
        <v>копия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customHeight="1">
      <c r="A124" s="30">
        <v>117</v>
      </c>
      <c r="B124" s="19" t="str">
        <f ca="1">IFERROR(__xludf.DUMMYFUNCTION("""COMPUTED_VALUE"""),"Кинев И.")</f>
        <v>Кинев И.</v>
      </c>
      <c r="C124" s="20">
        <f ca="1">IFERROR(__xludf.DUMMYFUNCTION("""COMPUTED_VALUE"""),3.32)</f>
        <v>3.32</v>
      </c>
      <c r="D124" s="6" t="str">
        <f ca="1">IFERROR(__xludf.DUMMYFUNCTION("""COMPUTED_VALUE"""),"МА")</f>
        <v>МА</v>
      </c>
      <c r="E124" s="20" t="str">
        <f ca="1">IFERROR(__xludf.DUMMYFUNCTION("""COMPUTED_VALUE"""),"копия")</f>
        <v>копия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customHeight="1">
      <c r="A125" s="30">
        <v>118</v>
      </c>
      <c r="B125" s="19" t="str">
        <f ca="1">IFERROR(__xludf.DUMMYFUNCTION("""COMPUTED_VALUE"""),"Демиденко Н.")</f>
        <v>Демиденко Н.</v>
      </c>
      <c r="C125" s="20">
        <f ca="1">IFERROR(__xludf.DUMMYFUNCTION("""COMPUTED_VALUE"""),3.32)</f>
        <v>3.32</v>
      </c>
      <c r="D125" s="6" t="str">
        <f ca="1">IFERROR(__xludf.DUMMYFUNCTION("""COMPUTED_VALUE"""),"МА")</f>
        <v>МА</v>
      </c>
      <c r="E125" s="20" t="str">
        <f ca="1">IFERROR(__xludf.DUMMYFUNCTION("""COMPUTED_VALUE"""),"копия")</f>
        <v>копия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customHeight="1">
      <c r="A126" s="30">
        <v>119</v>
      </c>
      <c r="B126" s="19" t="str">
        <f ca="1">IFERROR(__xludf.DUMMYFUNCTION("""COMPUTED_VALUE"""),"Строю К.")</f>
        <v>Строю К.</v>
      </c>
      <c r="C126" s="20">
        <f ca="1">IFERROR(__xludf.DUMMYFUNCTION("""COMPUTED_VALUE"""),3.31)</f>
        <v>3.31</v>
      </c>
      <c r="D126" s="6" t="str">
        <f ca="1">IFERROR(__xludf.DUMMYFUNCTION("""COMPUTED_VALUE"""),"МА")</f>
        <v>МА</v>
      </c>
      <c r="E126" s="20" t="str">
        <f ca="1">IFERROR(__xludf.DUMMYFUNCTION("""COMPUTED_VALUE"""),"оригинал")</f>
        <v>оригинал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customHeight="1">
      <c r="A127" s="30">
        <v>120</v>
      </c>
      <c r="B127" s="19" t="str">
        <f ca="1">IFERROR(__xludf.DUMMYFUNCTION("""COMPUTED_VALUE"""),"Маркозашвили Г.")</f>
        <v>Маркозашвили Г.</v>
      </c>
      <c r="C127" s="23">
        <f ca="1">IFERROR(__xludf.DUMMYFUNCTION("""COMPUTED_VALUE"""),3.31)</f>
        <v>3.31</v>
      </c>
      <c r="D127" s="6" t="str">
        <f ca="1">IFERROR(__xludf.DUMMYFUNCTION("""COMPUTED_VALUE"""),"МА")</f>
        <v>МА</v>
      </c>
      <c r="E127" s="20" t="str">
        <f ca="1">IFERROR(__xludf.DUMMYFUNCTION("""COMPUTED_VALUE"""),"оригинал ")</f>
        <v xml:space="preserve">оригинал 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customHeight="1">
      <c r="A128" s="30">
        <v>121</v>
      </c>
      <c r="B128" s="19" t="str">
        <f ca="1">IFERROR(__xludf.DUMMYFUNCTION("""COMPUTED_VALUE"""),"Рудаков А.")</f>
        <v>Рудаков А.</v>
      </c>
      <c r="C128" s="20">
        <f ca="1">IFERROR(__xludf.DUMMYFUNCTION("""COMPUTED_VALUE"""),3.3)</f>
        <v>3.3</v>
      </c>
      <c r="D128" s="6" t="str">
        <f ca="1">IFERROR(__xludf.DUMMYFUNCTION("""COMPUTED_VALUE"""),"МА")</f>
        <v>МА</v>
      </c>
      <c r="E128" s="20" t="str">
        <f ca="1">IFERROR(__xludf.DUMMYFUNCTION("""COMPUTED_VALUE"""),"копия")</f>
        <v>копия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30">
        <v>117</v>
      </c>
      <c r="B129" s="19" t="str">
        <f ca="1">IFERROR(__xludf.DUMMYFUNCTION("""COMPUTED_VALUE"""),"Костина В.")</f>
        <v>Костина В.</v>
      </c>
      <c r="C129" s="20">
        <f ca="1">IFERROR(__xludf.DUMMYFUNCTION("""COMPUTED_VALUE"""),3.3)</f>
        <v>3.3</v>
      </c>
      <c r="D129" s="6" t="str">
        <f ca="1">IFERROR(__xludf.DUMMYFUNCTION("""COMPUTED_VALUE"""),"МА")</f>
        <v>МА</v>
      </c>
      <c r="E129" s="20" t="str">
        <f ca="1">IFERROR(__xludf.DUMMYFUNCTION("""COMPUTED_VALUE"""),"копия")</f>
        <v>копия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30">
        <v>118</v>
      </c>
      <c r="B130" s="19" t="str">
        <f ca="1">IFERROR(__xludf.DUMMYFUNCTION("""COMPUTED_VALUE"""),"Шаркова Э.")</f>
        <v>Шаркова Э.</v>
      </c>
      <c r="C130" s="20">
        <f ca="1">IFERROR(__xludf.DUMMYFUNCTION("""COMPUTED_VALUE"""),3.3)</f>
        <v>3.3</v>
      </c>
      <c r="D130" s="6" t="str">
        <f ca="1">IFERROR(__xludf.DUMMYFUNCTION("""COMPUTED_VALUE"""),"МА")</f>
        <v>МА</v>
      </c>
      <c r="E130" s="20" t="str">
        <f ca="1">IFERROR(__xludf.DUMMYFUNCTION("""COMPUTED_VALUE"""),"копия")</f>
        <v>копия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30">
        <v>119</v>
      </c>
      <c r="B131" s="19" t="str">
        <f ca="1">IFERROR(__xludf.DUMMYFUNCTION("""COMPUTED_VALUE"""),"Гаранин И.")</f>
        <v>Гаранин И.</v>
      </c>
      <c r="C131" s="19">
        <f ca="1">IFERROR(__xludf.DUMMYFUNCTION("""COMPUTED_VALUE"""),3.29)</f>
        <v>3.29</v>
      </c>
      <c r="D131" s="19" t="str">
        <f ca="1">IFERROR(__xludf.DUMMYFUNCTION("""COMPUTED_VALUE"""),"МА")</f>
        <v>МА</v>
      </c>
      <c r="E131" s="19" t="str">
        <f ca="1">IFERROR(__xludf.DUMMYFUNCTION("""COMPUTED_VALUE"""),"копия")</f>
        <v>копия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30">
        <v>120</v>
      </c>
      <c r="B132" s="19" t="str">
        <f ca="1">IFERROR(__xludf.DUMMYFUNCTION("""COMPUTED_VALUE"""),"Бакулин А.")</f>
        <v>Бакулин А.</v>
      </c>
      <c r="C132" s="19">
        <f ca="1">IFERROR(__xludf.DUMMYFUNCTION("""COMPUTED_VALUE"""),3.29)</f>
        <v>3.29</v>
      </c>
      <c r="D132" s="19" t="str">
        <f ca="1">IFERROR(__xludf.DUMMYFUNCTION("""COMPUTED_VALUE"""),"МА")</f>
        <v>МА</v>
      </c>
      <c r="E132" s="19" t="str">
        <f ca="1">IFERROR(__xludf.DUMMYFUNCTION("""COMPUTED_VALUE"""),"копия")</f>
        <v>копия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30">
        <v>121</v>
      </c>
      <c r="B133" s="19" t="str">
        <f ca="1">IFERROR(__xludf.DUMMYFUNCTION("""COMPUTED_VALUE"""),"Попов С.")</f>
        <v>Попов С.</v>
      </c>
      <c r="C133" s="19">
        <f ca="1">IFERROR(__xludf.DUMMYFUNCTION("""COMPUTED_VALUE"""),3.29)</f>
        <v>3.29</v>
      </c>
      <c r="D133" s="19" t="str">
        <f ca="1">IFERROR(__xludf.DUMMYFUNCTION("""COMPUTED_VALUE"""),"МА")</f>
        <v>МА</v>
      </c>
      <c r="E133" s="19" t="str">
        <f ca="1">IFERROR(__xludf.DUMMYFUNCTION("""COMPUTED_VALUE"""),"копия")</f>
        <v>копия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30">
        <v>122</v>
      </c>
      <c r="B134" s="19" t="str">
        <f ca="1">IFERROR(__xludf.DUMMYFUNCTION("""COMPUTED_VALUE"""),"Бакулин А.")</f>
        <v>Бакулин А.</v>
      </c>
      <c r="C134" s="19">
        <f ca="1">IFERROR(__xludf.DUMMYFUNCTION("""COMPUTED_VALUE"""),3.29)</f>
        <v>3.29</v>
      </c>
      <c r="D134" s="19" t="str">
        <f ca="1">IFERROR(__xludf.DUMMYFUNCTION("""COMPUTED_VALUE"""),"МА")</f>
        <v>МА</v>
      </c>
      <c r="E134" s="19" t="str">
        <f ca="1">IFERROR(__xludf.DUMMYFUNCTION("""COMPUTED_VALUE"""),"копия")</f>
        <v>копия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30">
        <v>123</v>
      </c>
      <c r="B135" s="19" t="str">
        <f ca="1">IFERROR(__xludf.DUMMYFUNCTION("""COMPUTED_VALUE"""),"Шапоров А.")</f>
        <v>Шапоров А.</v>
      </c>
      <c r="C135" s="19">
        <f ca="1">IFERROR(__xludf.DUMMYFUNCTION("""COMPUTED_VALUE"""),3.29)</f>
        <v>3.29</v>
      </c>
      <c r="D135" s="19" t="str">
        <f ca="1">IFERROR(__xludf.DUMMYFUNCTION("""COMPUTED_VALUE"""),"МА")</f>
        <v>МА</v>
      </c>
      <c r="E135" s="19" t="str">
        <f ca="1">IFERROR(__xludf.DUMMYFUNCTION("""COMPUTED_VALUE"""),"копия")</f>
        <v>копия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30">
        <v>124</v>
      </c>
      <c r="B136" s="19" t="str">
        <f ca="1">IFERROR(__xludf.DUMMYFUNCTION("""COMPUTED_VALUE"""),"Бончковский Д.")</f>
        <v>Бончковский Д.</v>
      </c>
      <c r="C136" s="19">
        <f ca="1">IFERROR(__xludf.DUMMYFUNCTION("""COMPUTED_VALUE"""),3.28)</f>
        <v>3.28</v>
      </c>
      <c r="D136" s="19" t="str">
        <f ca="1">IFERROR(__xludf.DUMMYFUNCTION("""COMPUTED_VALUE"""),"МА")</f>
        <v>МА</v>
      </c>
      <c r="E136" s="19" t="str">
        <f ca="1">IFERROR(__xludf.DUMMYFUNCTION("""COMPUTED_VALUE"""),"копия")</f>
        <v>копия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30">
        <v>125</v>
      </c>
      <c r="B137" s="19" t="str">
        <f ca="1">IFERROR(__xludf.DUMMYFUNCTION("""COMPUTED_VALUE"""),"Бончковский Д.")</f>
        <v>Бончковский Д.</v>
      </c>
      <c r="C137" s="19">
        <f ca="1">IFERROR(__xludf.DUMMYFUNCTION("""COMPUTED_VALUE"""),3.28)</f>
        <v>3.28</v>
      </c>
      <c r="D137" s="19" t="str">
        <f ca="1">IFERROR(__xludf.DUMMYFUNCTION("""COMPUTED_VALUE"""),"МА")</f>
        <v>МА</v>
      </c>
      <c r="E137" s="19" t="str">
        <f ca="1">IFERROR(__xludf.DUMMYFUNCTION("""COMPUTED_VALUE"""),"копия")</f>
        <v>копия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30">
        <v>126</v>
      </c>
      <c r="B138" s="19" t="str">
        <f ca="1">IFERROR(__xludf.DUMMYFUNCTION("""COMPUTED_VALUE"""),"Добряков Т.")</f>
        <v>Добряков Т.</v>
      </c>
      <c r="C138" s="33">
        <f ca="1">IFERROR(__xludf.DUMMYFUNCTION("""COMPUTED_VALUE"""),3.28)</f>
        <v>3.28</v>
      </c>
      <c r="D138" s="19" t="str">
        <f ca="1">IFERROR(__xludf.DUMMYFUNCTION("""COMPUTED_VALUE"""),"МА")</f>
        <v>МА</v>
      </c>
      <c r="E138" s="19" t="str">
        <f ca="1">IFERROR(__xludf.DUMMYFUNCTION("""COMPUTED_VALUE"""),"копия")</f>
        <v>копия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30">
        <v>127</v>
      </c>
      <c r="B139" s="19" t="str">
        <f ca="1">IFERROR(__xludf.DUMMYFUNCTION("""COMPUTED_VALUE"""),"Чупров Г.")</f>
        <v>Чупров Г.</v>
      </c>
      <c r="C139" s="19">
        <f ca="1">IFERROR(__xludf.DUMMYFUNCTION("""COMPUTED_VALUE"""),3.28)</f>
        <v>3.28</v>
      </c>
      <c r="D139" s="19" t="str">
        <f ca="1">IFERROR(__xludf.DUMMYFUNCTION("""COMPUTED_VALUE"""),"МА")</f>
        <v>МА</v>
      </c>
      <c r="E139" s="19" t="str">
        <f ca="1">IFERROR(__xludf.DUMMYFUNCTION("""COMPUTED_VALUE"""),"копия")</f>
        <v>копия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30">
        <v>128</v>
      </c>
      <c r="B140" s="19" t="str">
        <f ca="1">IFERROR(__xludf.DUMMYFUNCTION("""COMPUTED_VALUE"""),"Герасимович К. Н.")</f>
        <v>Герасимович К. Н.</v>
      </c>
      <c r="C140" s="29">
        <f ca="1">IFERROR(__xludf.DUMMYFUNCTION("""COMPUTED_VALUE"""),3.28)</f>
        <v>3.28</v>
      </c>
      <c r="D140" s="19" t="str">
        <f ca="1">IFERROR(__xludf.DUMMYFUNCTION("""COMPUTED_VALUE"""),"МА")</f>
        <v>МА</v>
      </c>
      <c r="E140" s="19" t="str">
        <f ca="1">IFERROR(__xludf.DUMMYFUNCTION("""COMPUTED_VALUE"""),"оригинал")</f>
        <v>оригинал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30">
        <v>129</v>
      </c>
      <c r="B141" s="19" t="str">
        <f ca="1">IFERROR(__xludf.DUMMYFUNCTION("""COMPUTED_VALUE"""),"Игнатова Е.")</f>
        <v>Игнатова Е.</v>
      </c>
      <c r="C141" s="33">
        <f ca="1">IFERROR(__xludf.DUMMYFUNCTION("""COMPUTED_VALUE"""),3.27)</f>
        <v>3.27</v>
      </c>
      <c r="D141" s="19" t="str">
        <f ca="1">IFERROR(__xludf.DUMMYFUNCTION("""COMPUTED_VALUE"""),"МА")</f>
        <v>МА</v>
      </c>
      <c r="E141" s="19" t="str">
        <f ca="1">IFERROR(__xludf.DUMMYFUNCTION("""COMPUTED_VALUE"""),"оригинал")</f>
        <v>оригинал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30">
        <v>130</v>
      </c>
      <c r="B142" s="19" t="str">
        <f ca="1">IFERROR(__xludf.DUMMYFUNCTION("""COMPUTED_VALUE"""),"Спирькин Н.")</f>
        <v>Спирькин Н.</v>
      </c>
      <c r="C142" s="19">
        <f ca="1">IFERROR(__xludf.DUMMYFUNCTION("""COMPUTED_VALUE"""),3.27)</f>
        <v>3.27</v>
      </c>
      <c r="D142" s="19" t="str">
        <f ca="1">IFERROR(__xludf.DUMMYFUNCTION("""COMPUTED_VALUE"""),"МА")</f>
        <v>МА</v>
      </c>
      <c r="E142" s="19" t="str">
        <f ca="1">IFERROR(__xludf.DUMMYFUNCTION("""COMPUTED_VALUE"""),"копия")</f>
        <v>копия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30">
        <v>131</v>
      </c>
      <c r="B143" s="19" t="str">
        <f ca="1">IFERROR(__xludf.DUMMYFUNCTION("""COMPUTED_VALUE"""),"Гичев З.")</f>
        <v>Гичев З.</v>
      </c>
      <c r="C143" s="19">
        <f ca="1">IFERROR(__xludf.DUMMYFUNCTION("""COMPUTED_VALUE"""),3.27)</f>
        <v>3.27</v>
      </c>
      <c r="D143" s="19" t="str">
        <f ca="1">IFERROR(__xludf.DUMMYFUNCTION("""COMPUTED_VALUE"""),"МА")</f>
        <v>МА</v>
      </c>
      <c r="E143" s="19" t="str">
        <f ca="1">IFERROR(__xludf.DUMMYFUNCTION("""COMPUTED_VALUE"""),"копия")</f>
        <v>копия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30">
        <v>132</v>
      </c>
      <c r="B144" s="19" t="str">
        <f ca="1">IFERROR(__xludf.DUMMYFUNCTION("""COMPUTED_VALUE"""),"Ануфриев З.")</f>
        <v>Ануфриев З.</v>
      </c>
      <c r="C144" s="33">
        <f ca="1">IFERROR(__xludf.DUMMYFUNCTION("""COMPUTED_VALUE"""),3.27)</f>
        <v>3.27</v>
      </c>
      <c r="D144" s="19" t="str">
        <f ca="1">IFERROR(__xludf.DUMMYFUNCTION("""COMPUTED_VALUE"""),"МА")</f>
        <v>МА</v>
      </c>
      <c r="E144" s="19" t="str">
        <f ca="1">IFERROR(__xludf.DUMMYFUNCTION("""COMPUTED_VALUE"""),"копия")</f>
        <v>копия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30">
        <v>133</v>
      </c>
      <c r="B145" s="19" t="str">
        <f ca="1">IFERROR(__xludf.DUMMYFUNCTION("""COMPUTED_VALUE"""),"Гичев З. С.")</f>
        <v>Гичев З. С.</v>
      </c>
      <c r="C145" s="29">
        <f ca="1">IFERROR(__xludf.DUMMYFUNCTION("""COMPUTED_VALUE"""),3.27)</f>
        <v>3.27</v>
      </c>
      <c r="D145" s="19" t="str">
        <f ca="1">IFERROR(__xludf.DUMMYFUNCTION("""COMPUTED_VALUE"""),"МА")</f>
        <v>МА</v>
      </c>
      <c r="E145" s="19" t="str">
        <f ca="1">IFERROR(__xludf.DUMMYFUNCTION("""COMPUTED_VALUE"""),"оригинал")</f>
        <v>оригинал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30">
        <v>134</v>
      </c>
      <c r="B146" s="19" t="str">
        <f ca="1">IFERROR(__xludf.DUMMYFUNCTION("""COMPUTED_VALUE"""),"Сапелкин И.")</f>
        <v>Сапелкин И.</v>
      </c>
      <c r="C146" s="33">
        <f ca="1">IFERROR(__xludf.DUMMYFUNCTION("""COMPUTED_VALUE"""),3.26)</f>
        <v>3.26</v>
      </c>
      <c r="D146" s="19" t="str">
        <f ca="1">IFERROR(__xludf.DUMMYFUNCTION("""COMPUTED_VALUE"""),"МА")</f>
        <v>МА</v>
      </c>
      <c r="E146" s="19" t="str">
        <f ca="1">IFERROR(__xludf.DUMMYFUNCTION("""COMPUTED_VALUE"""),"оригинал ")</f>
        <v xml:space="preserve">оригинал 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30">
        <v>135</v>
      </c>
      <c r="B147" s="19" t="str">
        <f ca="1">IFERROR(__xludf.DUMMYFUNCTION("""COMPUTED_VALUE"""),"Филипов С.")</f>
        <v>Филипов С.</v>
      </c>
      <c r="C147" s="19">
        <f ca="1">IFERROR(__xludf.DUMMYFUNCTION("""COMPUTED_VALUE"""),3.26)</f>
        <v>3.26</v>
      </c>
      <c r="D147" s="19" t="str">
        <f ca="1">IFERROR(__xludf.DUMMYFUNCTION("""COMPUTED_VALUE"""),"МА")</f>
        <v>МА</v>
      </c>
      <c r="E147" s="19" t="str">
        <f ca="1">IFERROR(__xludf.DUMMYFUNCTION("""COMPUTED_VALUE"""),"копия")</f>
        <v>копия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30">
        <v>136</v>
      </c>
      <c r="B148" s="19" t="str">
        <f ca="1">IFERROR(__xludf.DUMMYFUNCTION("""COMPUTED_VALUE"""),"Бушуев М.")</f>
        <v>Бушуев М.</v>
      </c>
      <c r="C148" s="19">
        <f ca="1">IFERROR(__xludf.DUMMYFUNCTION("""COMPUTED_VALUE"""),3.26)</f>
        <v>3.26</v>
      </c>
      <c r="D148" s="19" t="str">
        <f ca="1">IFERROR(__xludf.DUMMYFUNCTION("""COMPUTED_VALUE"""),"МА")</f>
        <v>МА</v>
      </c>
      <c r="E148" s="19" t="str">
        <f ca="1">IFERROR(__xludf.DUMMYFUNCTION("""COMPUTED_VALUE"""),"копия")</f>
        <v>копия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30">
        <v>137</v>
      </c>
      <c r="B149" s="19" t="str">
        <f ca="1">IFERROR(__xludf.DUMMYFUNCTION("""COMPUTED_VALUE"""),"Бушуев М.")</f>
        <v>Бушуев М.</v>
      </c>
      <c r="C149" s="19">
        <f ca="1">IFERROR(__xludf.DUMMYFUNCTION("""COMPUTED_VALUE"""),3.26)</f>
        <v>3.26</v>
      </c>
      <c r="D149" s="19" t="str">
        <f ca="1">IFERROR(__xludf.DUMMYFUNCTION("""COMPUTED_VALUE"""),"МА")</f>
        <v>МА</v>
      </c>
      <c r="E149" s="19" t="str">
        <f ca="1">IFERROR(__xludf.DUMMYFUNCTION("""COMPUTED_VALUE"""),"копия")</f>
        <v>копия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30">
        <v>138</v>
      </c>
      <c r="B150" s="19" t="str">
        <f ca="1">IFERROR(__xludf.DUMMYFUNCTION("""COMPUTED_VALUE"""),"Горшков В.")</f>
        <v>Горшков В.</v>
      </c>
      <c r="C150" s="19">
        <f ca="1">IFERROR(__xludf.DUMMYFUNCTION("""COMPUTED_VALUE"""),3.26)</f>
        <v>3.26</v>
      </c>
      <c r="D150" s="19" t="str">
        <f ca="1">IFERROR(__xludf.DUMMYFUNCTION("""COMPUTED_VALUE"""),"МА")</f>
        <v>МА</v>
      </c>
      <c r="E150" s="19" t="str">
        <f ca="1">IFERROR(__xludf.DUMMYFUNCTION("""COMPUTED_VALUE"""),"копия")</f>
        <v>копия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30">
        <v>139</v>
      </c>
      <c r="B151" s="19" t="str">
        <f ca="1">IFERROR(__xludf.DUMMYFUNCTION("""COMPUTED_VALUE"""),"Старцев А.")</f>
        <v>Старцев А.</v>
      </c>
      <c r="C151" s="33">
        <f ca="1">IFERROR(__xludf.DUMMYFUNCTION("""COMPUTED_VALUE"""),3.26)</f>
        <v>3.26</v>
      </c>
      <c r="D151" s="19" t="str">
        <f ca="1">IFERROR(__xludf.DUMMYFUNCTION("""COMPUTED_VALUE"""),"МА")</f>
        <v>МА</v>
      </c>
      <c r="E151" s="19" t="str">
        <f ca="1">IFERROR(__xludf.DUMMYFUNCTION("""COMPUTED_VALUE"""),"копия")</f>
        <v>копия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30">
        <v>140</v>
      </c>
      <c r="B152" s="19" t="str">
        <f ca="1">IFERROR(__xludf.DUMMYFUNCTION("""COMPUTED_VALUE"""),"Торлопов А.")</f>
        <v>Торлопов А.</v>
      </c>
      <c r="C152" s="19">
        <f ca="1">IFERROR(__xludf.DUMMYFUNCTION("""COMPUTED_VALUE"""),3.26)</f>
        <v>3.26</v>
      </c>
      <c r="D152" s="19" t="str">
        <f ca="1">IFERROR(__xludf.DUMMYFUNCTION("""COMPUTED_VALUE"""),"МА")</f>
        <v>МА</v>
      </c>
      <c r="E152" s="19" t="str">
        <f ca="1">IFERROR(__xludf.DUMMYFUNCTION("""COMPUTED_VALUE"""),"копия")</f>
        <v>копия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30">
        <v>141</v>
      </c>
      <c r="B153" s="19" t="str">
        <f ca="1">IFERROR(__xludf.DUMMYFUNCTION("""COMPUTED_VALUE"""),"Амонин Н.")</f>
        <v>Амонин Н.</v>
      </c>
      <c r="C153" s="19">
        <f ca="1">IFERROR(__xludf.DUMMYFUNCTION("""COMPUTED_VALUE"""),3.25)</f>
        <v>3.25</v>
      </c>
      <c r="D153" s="19" t="str">
        <f ca="1">IFERROR(__xludf.DUMMYFUNCTION("""COMPUTED_VALUE"""),"МА")</f>
        <v>МА</v>
      </c>
      <c r="E153" s="19" t="str">
        <f ca="1">IFERROR(__xludf.DUMMYFUNCTION("""COMPUTED_VALUE"""),"оригинал")</f>
        <v>оригинал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30">
        <v>142</v>
      </c>
      <c r="B154" s="19" t="str">
        <f ca="1">IFERROR(__xludf.DUMMYFUNCTION("""COMPUTED_VALUE"""),"Сажин Е. С.")</f>
        <v>Сажин Е. С.</v>
      </c>
      <c r="C154" s="29">
        <f ca="1">IFERROR(__xludf.DUMMYFUNCTION("""COMPUTED_VALUE"""),3.25)</f>
        <v>3.25</v>
      </c>
      <c r="D154" s="19" t="str">
        <f ca="1">IFERROR(__xludf.DUMMYFUNCTION("""COMPUTED_VALUE"""),"МА")</f>
        <v>МА</v>
      </c>
      <c r="E154" s="19" t="str">
        <f ca="1">IFERROR(__xludf.DUMMYFUNCTION("""COMPUTED_VALUE"""),"копия")</f>
        <v>копия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30">
        <v>143</v>
      </c>
      <c r="B155" s="19" t="str">
        <f ca="1">IFERROR(__xludf.DUMMYFUNCTION("""COMPUTED_VALUE"""),"Литвиненко И.")</f>
        <v>Литвиненко И.</v>
      </c>
      <c r="C155" s="19">
        <f ca="1">IFERROR(__xludf.DUMMYFUNCTION("""COMPUTED_VALUE"""),3.23)</f>
        <v>3.23</v>
      </c>
      <c r="D155" s="19" t="str">
        <f ca="1">IFERROR(__xludf.DUMMYFUNCTION("""COMPUTED_VALUE"""),"МА")</f>
        <v>МА</v>
      </c>
      <c r="E155" s="19" t="str">
        <f ca="1">IFERROR(__xludf.DUMMYFUNCTION("""COMPUTED_VALUE"""),"копия")</f>
        <v>копия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30">
        <v>144</v>
      </c>
      <c r="B156" s="19" t="str">
        <f ca="1">IFERROR(__xludf.DUMMYFUNCTION("""COMPUTED_VALUE"""),"Зезегов С.")</f>
        <v>Зезегов С.</v>
      </c>
      <c r="C156" s="19">
        <f ca="1">IFERROR(__xludf.DUMMYFUNCTION("""COMPUTED_VALUE"""),3.22)</f>
        <v>3.22</v>
      </c>
      <c r="D156" s="19" t="str">
        <f ca="1">IFERROR(__xludf.DUMMYFUNCTION("""COMPUTED_VALUE"""),"МА")</f>
        <v>МА</v>
      </c>
      <c r="E156" s="19" t="str">
        <f ca="1">IFERROR(__xludf.DUMMYFUNCTION("""COMPUTED_VALUE"""),"копия")</f>
        <v>копия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30">
        <v>145</v>
      </c>
      <c r="B157" s="19" t="str">
        <f ca="1">IFERROR(__xludf.DUMMYFUNCTION("""COMPUTED_VALUE"""),"Просужих Н.")</f>
        <v>Просужих Н.</v>
      </c>
      <c r="C157" s="19">
        <f ca="1">IFERROR(__xludf.DUMMYFUNCTION("""COMPUTED_VALUE"""),3.22)</f>
        <v>3.22</v>
      </c>
      <c r="D157" s="19" t="str">
        <f ca="1">IFERROR(__xludf.DUMMYFUNCTION("""COMPUTED_VALUE"""),"МА")</f>
        <v>МА</v>
      </c>
      <c r="E157" s="19" t="str">
        <f ca="1">IFERROR(__xludf.DUMMYFUNCTION("""COMPUTED_VALUE"""),"копия")</f>
        <v>копия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30">
        <v>146</v>
      </c>
      <c r="B158" s="19" t="str">
        <f ca="1">IFERROR(__xludf.DUMMYFUNCTION("""COMPUTED_VALUE"""),"Добров Б.")</f>
        <v>Добров Б.</v>
      </c>
      <c r="C158" s="33">
        <f ca="1">IFERROR(__xludf.DUMMYFUNCTION("""COMPUTED_VALUE"""),3.22)</f>
        <v>3.22</v>
      </c>
      <c r="D158" s="19" t="str">
        <f ca="1">IFERROR(__xludf.DUMMYFUNCTION("""COMPUTED_VALUE"""),"МА")</f>
        <v>МА</v>
      </c>
      <c r="E158" s="19" t="str">
        <f ca="1">IFERROR(__xludf.DUMMYFUNCTION("""COMPUTED_VALUE"""),"копия")</f>
        <v>копия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30">
        <v>147</v>
      </c>
      <c r="B159" s="19" t="str">
        <f ca="1">IFERROR(__xludf.DUMMYFUNCTION("""COMPUTED_VALUE"""),"Русанов А.")</f>
        <v>Русанов А.</v>
      </c>
      <c r="C159" s="33">
        <f ca="1">IFERROR(__xludf.DUMMYFUNCTION("""COMPUTED_VALUE"""),3.22)</f>
        <v>3.22</v>
      </c>
      <c r="D159" s="19" t="str">
        <f ca="1">IFERROR(__xludf.DUMMYFUNCTION("""COMPUTED_VALUE"""),"МА")</f>
        <v>МА</v>
      </c>
      <c r="E159" s="19" t="str">
        <f ca="1">IFERROR(__xludf.DUMMYFUNCTION("""COMPUTED_VALUE"""),"копия")</f>
        <v>копия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30">
        <v>148</v>
      </c>
      <c r="B160" s="19" t="str">
        <f ca="1">IFERROR(__xludf.DUMMYFUNCTION("""COMPUTED_VALUE"""),"Новинский В.")</f>
        <v>Новинский В.</v>
      </c>
      <c r="C160" s="19">
        <f ca="1">IFERROR(__xludf.DUMMYFUNCTION("""COMPUTED_VALUE"""),3.22)</f>
        <v>3.22</v>
      </c>
      <c r="D160" s="19" t="str">
        <f ca="1">IFERROR(__xludf.DUMMYFUNCTION("""COMPUTED_VALUE"""),"МА")</f>
        <v>МА</v>
      </c>
      <c r="E160" s="19" t="str">
        <f ca="1">IFERROR(__xludf.DUMMYFUNCTION("""COMPUTED_VALUE"""),"копия")</f>
        <v>копия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30">
        <v>149</v>
      </c>
      <c r="B161" s="19" t="str">
        <f ca="1">IFERROR(__xludf.DUMMYFUNCTION("""COMPUTED_VALUE"""),"Яковлев Б.")</f>
        <v>Яковлев Б.</v>
      </c>
      <c r="C161" s="19">
        <f ca="1">IFERROR(__xludf.DUMMYFUNCTION("""COMPUTED_VALUE"""),3.21)</f>
        <v>3.21</v>
      </c>
      <c r="D161" s="19" t="str">
        <f ca="1">IFERROR(__xludf.DUMMYFUNCTION("""COMPUTED_VALUE"""),"МА")</f>
        <v>МА</v>
      </c>
      <c r="E161" s="19" t="str">
        <f ca="1">IFERROR(__xludf.DUMMYFUNCTION("""COMPUTED_VALUE"""),"копия")</f>
        <v>копия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30">
        <v>150</v>
      </c>
      <c r="B162" s="19" t="str">
        <f ca="1">IFERROR(__xludf.DUMMYFUNCTION("""COMPUTED_VALUE"""),"Потапов А.")</f>
        <v>Потапов А.</v>
      </c>
      <c r="C162" s="33">
        <f ca="1">IFERROR(__xludf.DUMMYFUNCTION("""COMPUTED_VALUE"""),3.21)</f>
        <v>3.21</v>
      </c>
      <c r="D162" s="19" t="str">
        <f ca="1">IFERROR(__xludf.DUMMYFUNCTION("""COMPUTED_VALUE"""),"МА")</f>
        <v>МА</v>
      </c>
      <c r="E162" s="19" t="str">
        <f ca="1">IFERROR(__xludf.DUMMYFUNCTION("""COMPUTED_VALUE"""),"оригинал")</f>
        <v>оригинал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30">
        <v>151</v>
      </c>
      <c r="B163" s="19" t="str">
        <f ca="1">IFERROR(__xludf.DUMMYFUNCTION("""COMPUTED_VALUE"""),"Леденцов С.")</f>
        <v>Леденцов С.</v>
      </c>
      <c r="C163" s="19">
        <f ca="1">IFERROR(__xludf.DUMMYFUNCTION("""COMPUTED_VALUE"""),3.21)</f>
        <v>3.21</v>
      </c>
      <c r="D163" s="19" t="str">
        <f ca="1">IFERROR(__xludf.DUMMYFUNCTION("""COMPUTED_VALUE"""),"МА")</f>
        <v>МА</v>
      </c>
      <c r="E163" s="19" t="str">
        <f ca="1">IFERROR(__xludf.DUMMYFUNCTION("""COMPUTED_VALUE"""),"копия")</f>
        <v>копия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30">
        <v>152</v>
      </c>
      <c r="B164" s="19" t="str">
        <f ca="1">IFERROR(__xludf.DUMMYFUNCTION("""COMPUTED_VALUE"""),"Осипов К.")</f>
        <v>Осипов К.</v>
      </c>
      <c r="C164" s="19">
        <f ca="1">IFERROR(__xludf.DUMMYFUNCTION("""COMPUTED_VALUE"""),3.21)</f>
        <v>3.21</v>
      </c>
      <c r="D164" s="19" t="str">
        <f ca="1">IFERROR(__xludf.DUMMYFUNCTION("""COMPUTED_VALUE"""),"МА")</f>
        <v>МА</v>
      </c>
      <c r="E164" s="19" t="str">
        <f ca="1">IFERROR(__xludf.DUMMYFUNCTION("""COMPUTED_VALUE"""),"оригинал ")</f>
        <v xml:space="preserve">оригинал 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30">
        <v>153</v>
      </c>
      <c r="B165" s="19" t="str">
        <f ca="1">IFERROR(__xludf.DUMMYFUNCTION("""COMPUTED_VALUE"""),"Стремоусов А.")</f>
        <v>Стремоусов А.</v>
      </c>
      <c r="C165" s="19">
        <f ca="1">IFERROR(__xludf.DUMMYFUNCTION("""COMPUTED_VALUE"""),3.21)</f>
        <v>3.21</v>
      </c>
      <c r="D165" s="19" t="str">
        <f ca="1">IFERROR(__xludf.DUMMYFUNCTION("""COMPUTED_VALUE"""),"МА")</f>
        <v>МА</v>
      </c>
      <c r="E165" s="19" t="str">
        <f ca="1">IFERROR(__xludf.DUMMYFUNCTION("""COMPUTED_VALUE"""),"копия")</f>
        <v>копия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30">
        <v>154</v>
      </c>
      <c r="B166" s="19" t="str">
        <f ca="1">IFERROR(__xludf.DUMMYFUNCTION("""COMPUTED_VALUE"""),"Канев Б.А.")</f>
        <v>Канев Б.А.</v>
      </c>
      <c r="C166" s="29">
        <f ca="1">IFERROR(__xludf.DUMMYFUNCTION("""COMPUTED_VALUE"""),3.21)</f>
        <v>3.21</v>
      </c>
      <c r="D166" s="19" t="str">
        <f ca="1">IFERROR(__xludf.DUMMYFUNCTION("""COMPUTED_VALUE"""),"МА")</f>
        <v>МА</v>
      </c>
      <c r="E166" s="19" t="str">
        <f ca="1">IFERROR(__xludf.DUMMYFUNCTION("""COMPUTED_VALUE"""),"копия")</f>
        <v>копия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30">
        <v>155</v>
      </c>
      <c r="B167" s="19" t="str">
        <f ca="1">IFERROR(__xludf.DUMMYFUNCTION("""COMPUTED_VALUE"""),"Удоратина Д. В.")</f>
        <v>Удоратина Д. В.</v>
      </c>
      <c r="C167" s="29">
        <f ca="1">IFERROR(__xludf.DUMMYFUNCTION("""COMPUTED_VALUE"""),3.21)</f>
        <v>3.21</v>
      </c>
      <c r="D167" s="19" t="str">
        <f ca="1">IFERROR(__xludf.DUMMYFUNCTION("""COMPUTED_VALUE"""),"МА")</f>
        <v>МА</v>
      </c>
      <c r="E167" s="19" t="str">
        <f ca="1">IFERROR(__xludf.DUMMYFUNCTION("""COMPUTED_VALUE"""),"копия")</f>
        <v>копия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30">
        <v>156</v>
      </c>
      <c r="B168" s="19" t="str">
        <f ca="1">IFERROR(__xludf.DUMMYFUNCTION("""COMPUTED_VALUE"""),"Чеусов А.")</f>
        <v>Чеусов А.</v>
      </c>
      <c r="C168" s="19">
        <f ca="1">IFERROR(__xludf.DUMMYFUNCTION("""COMPUTED_VALUE"""),3.2)</f>
        <v>3.2</v>
      </c>
      <c r="D168" s="19" t="str">
        <f ca="1">IFERROR(__xludf.DUMMYFUNCTION("""COMPUTED_VALUE"""),"МА")</f>
        <v>МА</v>
      </c>
      <c r="E168" s="19" t="str">
        <f ca="1">IFERROR(__xludf.DUMMYFUNCTION("""COMPUTED_VALUE"""),"копия")</f>
        <v>копия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30">
        <v>157</v>
      </c>
      <c r="B169" s="19" t="str">
        <f ca="1">IFERROR(__xludf.DUMMYFUNCTION("""COMPUTED_VALUE"""),"Смудников М.")</f>
        <v>Смудников М.</v>
      </c>
      <c r="C169" s="19">
        <f ca="1">IFERROR(__xludf.DUMMYFUNCTION("""COMPUTED_VALUE"""),3.2)</f>
        <v>3.2</v>
      </c>
      <c r="D169" s="19" t="str">
        <f ca="1">IFERROR(__xludf.DUMMYFUNCTION("""COMPUTED_VALUE"""),"МА")</f>
        <v>МА</v>
      </c>
      <c r="E169" s="19" t="str">
        <f ca="1">IFERROR(__xludf.DUMMYFUNCTION("""COMPUTED_VALUE"""),"копия")</f>
        <v>копия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30">
        <v>158</v>
      </c>
      <c r="B170" s="19" t="str">
        <f ca="1">IFERROR(__xludf.DUMMYFUNCTION("""COMPUTED_VALUE"""),"Калинин В.")</f>
        <v>Калинин В.</v>
      </c>
      <c r="C170" s="19">
        <f ca="1">IFERROR(__xludf.DUMMYFUNCTION("""COMPUTED_VALUE"""),3.2)</f>
        <v>3.2</v>
      </c>
      <c r="D170" s="19" t="str">
        <f ca="1">IFERROR(__xludf.DUMMYFUNCTION("""COMPUTED_VALUE"""),"МА")</f>
        <v>МА</v>
      </c>
      <c r="E170" s="19" t="str">
        <f ca="1">IFERROR(__xludf.DUMMYFUNCTION("""COMPUTED_VALUE"""),"копия")</f>
        <v>копия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30">
        <v>159</v>
      </c>
      <c r="B171" s="19" t="str">
        <f ca="1">IFERROR(__xludf.DUMMYFUNCTION("""COMPUTED_VALUE"""),"Булышев З.")</f>
        <v>Булышев З.</v>
      </c>
      <c r="C171" s="19">
        <f ca="1">IFERROR(__xludf.DUMMYFUNCTION("""COMPUTED_VALUE"""),3.17)</f>
        <v>3.17</v>
      </c>
      <c r="D171" s="19" t="str">
        <f ca="1">IFERROR(__xludf.DUMMYFUNCTION("""COMPUTED_VALUE"""),"МА")</f>
        <v>МА</v>
      </c>
      <c r="E171" s="19" t="str">
        <f ca="1">IFERROR(__xludf.DUMMYFUNCTION("""COMPUTED_VALUE"""),"копия")</f>
        <v>копия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30">
        <v>160</v>
      </c>
      <c r="B172" s="19" t="str">
        <f ca="1">IFERROR(__xludf.DUMMYFUNCTION("""COMPUTED_VALUE"""),"Канов С.")</f>
        <v>Канов С.</v>
      </c>
      <c r="C172" s="19">
        <f ca="1">IFERROR(__xludf.DUMMYFUNCTION("""COMPUTED_VALUE"""),3.17)</f>
        <v>3.17</v>
      </c>
      <c r="D172" s="19" t="str">
        <f ca="1">IFERROR(__xludf.DUMMYFUNCTION("""COMPUTED_VALUE"""),"МА")</f>
        <v>МА</v>
      </c>
      <c r="E172" s="19" t="str">
        <f ca="1">IFERROR(__xludf.DUMMYFUNCTION("""COMPUTED_VALUE"""),"копия")</f>
        <v>копия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30">
        <v>161</v>
      </c>
      <c r="B173" s="19" t="str">
        <f ca="1">IFERROR(__xludf.DUMMYFUNCTION("""COMPUTED_VALUE"""),"Торлопов К.А.")</f>
        <v>Торлопов К.А.</v>
      </c>
      <c r="C173" s="29">
        <f ca="1">IFERROR(__xludf.DUMMYFUNCTION("""COMPUTED_VALUE"""),3.17)</f>
        <v>3.17</v>
      </c>
      <c r="D173" s="19" t="str">
        <f ca="1">IFERROR(__xludf.DUMMYFUNCTION("""COMPUTED_VALUE"""),"МА")</f>
        <v>МА</v>
      </c>
      <c r="E173" s="19" t="str">
        <f ca="1">IFERROR(__xludf.DUMMYFUNCTION("""COMPUTED_VALUE"""),"копия")</f>
        <v>копия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30">
        <v>162</v>
      </c>
      <c r="B174" s="19" t="str">
        <f ca="1">IFERROR(__xludf.DUMMYFUNCTION("""COMPUTED_VALUE"""),"Лызлов Д.")</f>
        <v>Лызлов Д.</v>
      </c>
      <c r="C174" s="19">
        <f ca="1">IFERROR(__xludf.DUMMYFUNCTION("""COMPUTED_VALUE"""),3.16)</f>
        <v>3.16</v>
      </c>
      <c r="D174" s="19" t="str">
        <f ca="1">IFERROR(__xludf.DUMMYFUNCTION("""COMPUTED_VALUE"""),"МА")</f>
        <v>МА</v>
      </c>
      <c r="E174" s="19" t="str">
        <f ca="1">IFERROR(__xludf.DUMMYFUNCTION("""COMPUTED_VALUE"""),"копия")</f>
        <v>копия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30">
        <v>163</v>
      </c>
      <c r="B175" s="19" t="str">
        <f ca="1">IFERROR(__xludf.DUMMYFUNCTION("""COMPUTED_VALUE"""),"Фатеев А.")</f>
        <v>Фатеев А.</v>
      </c>
      <c r="C175" s="19">
        <f ca="1">IFERROR(__xludf.DUMMYFUNCTION("""COMPUTED_VALUE"""),3.16)</f>
        <v>3.16</v>
      </c>
      <c r="D175" s="19" t="str">
        <f ca="1">IFERROR(__xludf.DUMMYFUNCTION("""COMPUTED_VALUE"""),"МА")</f>
        <v>МА</v>
      </c>
      <c r="E175" s="19" t="str">
        <f ca="1">IFERROR(__xludf.DUMMYFUNCTION("""COMPUTED_VALUE"""),"копия")</f>
        <v>копия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30">
        <v>164</v>
      </c>
      <c r="B176" s="19" t="str">
        <f ca="1">IFERROR(__xludf.DUMMYFUNCTION("""COMPUTED_VALUE"""),"Сметанин А.")</f>
        <v>Сметанин А.</v>
      </c>
      <c r="C176" s="19">
        <f ca="1">IFERROR(__xludf.DUMMYFUNCTION("""COMPUTED_VALUE"""),3.16)</f>
        <v>3.16</v>
      </c>
      <c r="D176" s="19" t="str">
        <f ca="1">IFERROR(__xludf.DUMMYFUNCTION("""COMPUTED_VALUE"""),"МА")</f>
        <v>МА</v>
      </c>
      <c r="E176" s="19" t="str">
        <f ca="1">IFERROR(__xludf.DUMMYFUNCTION("""COMPUTED_VALUE"""),"копия")</f>
        <v>копия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30">
        <v>165</v>
      </c>
      <c r="B177" s="19" t="str">
        <f ca="1">IFERROR(__xludf.DUMMYFUNCTION("""COMPUTED_VALUE"""),"Ракин С.")</f>
        <v>Ракин С.</v>
      </c>
      <c r="C177" s="19">
        <f ca="1">IFERROR(__xludf.DUMMYFUNCTION("""COMPUTED_VALUE"""),3.16)</f>
        <v>3.16</v>
      </c>
      <c r="D177" s="19" t="str">
        <f ca="1">IFERROR(__xludf.DUMMYFUNCTION("""COMPUTED_VALUE"""),"МА")</f>
        <v>МА</v>
      </c>
      <c r="E177" s="19" t="str">
        <f ca="1">IFERROR(__xludf.DUMMYFUNCTION("""COMPUTED_VALUE"""),"оригинал ")</f>
        <v xml:space="preserve">оригинал 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30">
        <v>166</v>
      </c>
      <c r="B178" s="19" t="str">
        <f ca="1">IFERROR(__xludf.DUMMYFUNCTION("""COMPUTED_VALUE"""),"Карманов Д.")</f>
        <v>Карманов Д.</v>
      </c>
      <c r="C178" s="19">
        <f ca="1">IFERROR(__xludf.DUMMYFUNCTION("""COMPUTED_VALUE"""),3.16)</f>
        <v>3.16</v>
      </c>
      <c r="D178" s="19" t="str">
        <f ca="1">IFERROR(__xludf.DUMMYFUNCTION("""COMPUTED_VALUE"""),"МА")</f>
        <v>МА</v>
      </c>
      <c r="E178" s="19" t="str">
        <f ca="1">IFERROR(__xludf.DUMMYFUNCTION("""COMPUTED_VALUE"""),"копия")</f>
        <v>копия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30">
        <v>167</v>
      </c>
      <c r="B179" s="19" t="str">
        <f ca="1">IFERROR(__xludf.DUMMYFUNCTION("""COMPUTED_VALUE"""),"Игнатов В.")</f>
        <v>Игнатов В.</v>
      </c>
      <c r="C179" s="19">
        <f ca="1">IFERROR(__xludf.DUMMYFUNCTION("""COMPUTED_VALUE"""),3.16)</f>
        <v>3.16</v>
      </c>
      <c r="D179" s="19" t="str">
        <f ca="1">IFERROR(__xludf.DUMMYFUNCTION("""COMPUTED_VALUE"""),"МА")</f>
        <v>МА</v>
      </c>
      <c r="E179" s="19" t="str">
        <f ca="1">IFERROR(__xludf.DUMMYFUNCTION("""COMPUTED_VALUE"""),"копия")</f>
        <v>копия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30">
        <v>168</v>
      </c>
      <c r="B180" s="19" t="str">
        <f ca="1">IFERROR(__xludf.DUMMYFUNCTION("""COMPUTED_VALUE"""),"Васильев Е.")</f>
        <v>Васильев Е.</v>
      </c>
      <c r="C180" s="19">
        <f ca="1">IFERROR(__xludf.DUMMYFUNCTION("""COMPUTED_VALUE"""),3.16)</f>
        <v>3.16</v>
      </c>
      <c r="D180" s="19" t="str">
        <f ca="1">IFERROR(__xludf.DUMMYFUNCTION("""COMPUTED_VALUE"""),"МА")</f>
        <v>МА</v>
      </c>
      <c r="E180" s="19" t="str">
        <f ca="1">IFERROR(__xludf.DUMMYFUNCTION("""COMPUTED_VALUE"""),"копия")</f>
        <v>копия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30">
        <v>169</v>
      </c>
      <c r="B181" s="19" t="str">
        <f ca="1">IFERROR(__xludf.DUMMYFUNCTION("""COMPUTED_VALUE"""),"Торлопов Д.")</f>
        <v>Торлопов Д.</v>
      </c>
      <c r="C181" s="19">
        <f ca="1">IFERROR(__xludf.DUMMYFUNCTION("""COMPUTED_VALUE"""),3.15)</f>
        <v>3.15</v>
      </c>
      <c r="D181" s="19" t="str">
        <f ca="1">IFERROR(__xludf.DUMMYFUNCTION("""COMPUTED_VALUE"""),"МА")</f>
        <v>МА</v>
      </c>
      <c r="E181" s="19" t="str">
        <f ca="1">IFERROR(__xludf.DUMMYFUNCTION("""COMPUTED_VALUE"""),"копия")</f>
        <v>копия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30">
        <v>170</v>
      </c>
      <c r="B182" s="19" t="str">
        <f ca="1">IFERROR(__xludf.DUMMYFUNCTION("""COMPUTED_VALUE"""),"Канов С.")</f>
        <v>Канов С.</v>
      </c>
      <c r="C182" s="33">
        <f ca="1">IFERROR(__xludf.DUMMYFUNCTION("""COMPUTED_VALUE"""),3.15)</f>
        <v>3.15</v>
      </c>
      <c r="D182" s="19" t="str">
        <f ca="1">IFERROR(__xludf.DUMMYFUNCTION("""COMPUTED_VALUE"""),"МА")</f>
        <v>МА</v>
      </c>
      <c r="E182" s="19" t="str">
        <f ca="1">IFERROR(__xludf.DUMMYFUNCTION("""COMPUTED_VALUE"""),"копия")</f>
        <v>копия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30">
        <v>171</v>
      </c>
      <c r="B183" s="19" t="str">
        <f ca="1">IFERROR(__xludf.DUMMYFUNCTION("""COMPUTED_VALUE"""),"Шудрич Д.")</f>
        <v>Шудрич Д.</v>
      </c>
      <c r="C183" s="19">
        <f ca="1">IFERROR(__xludf.DUMMYFUNCTION("""COMPUTED_VALUE"""),3.15)</f>
        <v>3.15</v>
      </c>
      <c r="D183" s="19" t="str">
        <f ca="1">IFERROR(__xludf.DUMMYFUNCTION("""COMPUTED_VALUE"""),"МА")</f>
        <v>МА</v>
      </c>
      <c r="E183" s="19" t="str">
        <f ca="1">IFERROR(__xludf.DUMMYFUNCTION("""COMPUTED_VALUE"""),"копия")</f>
        <v>копия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30">
        <v>172</v>
      </c>
      <c r="B184" s="19" t="str">
        <f ca="1">IFERROR(__xludf.DUMMYFUNCTION("""COMPUTED_VALUE"""),"Шемяков А.")</f>
        <v>Шемяков А.</v>
      </c>
      <c r="C184" s="19">
        <f ca="1">IFERROR(__xludf.DUMMYFUNCTION("""COMPUTED_VALUE"""),3.11)</f>
        <v>3.11</v>
      </c>
      <c r="D184" s="19" t="str">
        <f ca="1">IFERROR(__xludf.DUMMYFUNCTION("""COMPUTED_VALUE"""),"МА")</f>
        <v>МА</v>
      </c>
      <c r="E184" s="19" t="str">
        <f ca="1">IFERROR(__xludf.DUMMYFUNCTION("""COMPUTED_VALUE"""),"копия")</f>
        <v>копия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30">
        <v>173</v>
      </c>
      <c r="B185" s="19" t="str">
        <f ca="1">IFERROR(__xludf.DUMMYFUNCTION("""COMPUTED_VALUE"""),"Коломейцев С.")</f>
        <v>Коломейцев С.</v>
      </c>
      <c r="C185" s="19">
        <f ca="1">IFERROR(__xludf.DUMMYFUNCTION("""COMPUTED_VALUE"""),3.1)</f>
        <v>3.1</v>
      </c>
      <c r="D185" s="19" t="str">
        <f ca="1">IFERROR(__xludf.DUMMYFUNCTION("""COMPUTED_VALUE"""),"МА")</f>
        <v>МА</v>
      </c>
      <c r="E185" s="19" t="str">
        <f ca="1">IFERROR(__xludf.DUMMYFUNCTION("""COMPUTED_VALUE"""),"копия")</f>
        <v>копия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30">
        <v>174</v>
      </c>
      <c r="B186" s="19" t="str">
        <f ca="1">IFERROR(__xludf.DUMMYFUNCTION("""COMPUTED_VALUE"""),"Горчаков Д. Д.
")</f>
        <v xml:space="preserve">Горчаков Д. Д.
</v>
      </c>
      <c r="C186" s="29">
        <f ca="1">IFERROR(__xludf.DUMMYFUNCTION("""COMPUTED_VALUE"""),3.1)</f>
        <v>3.1</v>
      </c>
      <c r="D186" s="19" t="str">
        <f ca="1">IFERROR(__xludf.DUMMYFUNCTION("""COMPUTED_VALUE"""),"МА")</f>
        <v>МА</v>
      </c>
      <c r="E186" s="19" t="str">
        <f ca="1">IFERROR(__xludf.DUMMYFUNCTION("""COMPUTED_VALUE"""),"оригинал ")</f>
        <v xml:space="preserve">оригинал 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30">
        <v>175</v>
      </c>
      <c r="B187" s="19" t="str">
        <f ca="1">IFERROR(__xludf.DUMMYFUNCTION("""COMPUTED_VALUE"""),"Окулов В.")</f>
        <v>Окулов В.</v>
      </c>
      <c r="C187" s="33">
        <f ca="1">IFERROR(__xludf.DUMMYFUNCTION("""COMPUTED_VALUE"""),3.05)</f>
        <v>3.05</v>
      </c>
      <c r="D187" s="19" t="str">
        <f ca="1">IFERROR(__xludf.DUMMYFUNCTION("""COMPUTED_VALUE"""),"МА")</f>
        <v>МА</v>
      </c>
      <c r="E187" s="19" t="str">
        <f ca="1">IFERROR(__xludf.DUMMYFUNCTION("""COMPUTED_VALUE"""),"копия")</f>
        <v>копия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30">
        <v>176</v>
      </c>
      <c r="B188" s="19" t="str">
        <f ca="1">IFERROR(__xludf.DUMMYFUNCTION("""COMPUTED_VALUE"""),"Петров А.")</f>
        <v>Петров А.</v>
      </c>
      <c r="C188" s="19">
        <f ca="1">IFERROR(__xludf.DUMMYFUNCTION("""COMPUTED_VALUE"""),3.05)</f>
        <v>3.05</v>
      </c>
      <c r="D188" s="19" t="str">
        <f ca="1">IFERROR(__xludf.DUMMYFUNCTION("""COMPUTED_VALUE"""),"МА")</f>
        <v>МА</v>
      </c>
      <c r="E188" s="19" t="str">
        <f ca="1">IFERROR(__xludf.DUMMYFUNCTION("""COMPUTED_VALUE"""),"копия")</f>
        <v>копия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30">
        <v>177</v>
      </c>
      <c r="B189" s="19" t="str">
        <f ca="1">IFERROR(__xludf.DUMMYFUNCTION("""COMPUTED_VALUE"""),"Чесноков Ю. В.")</f>
        <v>Чесноков Ю. В.</v>
      </c>
      <c r="C189" s="19">
        <f ca="1">IFERROR(__xludf.DUMMYFUNCTION("""COMPUTED_VALUE"""),3.05)</f>
        <v>3.05</v>
      </c>
      <c r="D189" s="19" t="str">
        <f ca="1">IFERROR(__xludf.DUMMYFUNCTION("""COMPUTED_VALUE"""),"МА")</f>
        <v>МА</v>
      </c>
      <c r="E189" s="19" t="str">
        <f ca="1">IFERROR(__xludf.DUMMYFUNCTION("""COMPUTED_VALUE"""),"копия")</f>
        <v>копия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30">
        <v>178</v>
      </c>
      <c r="B190" s="19" t="str">
        <f ca="1">IFERROR(__xludf.DUMMYFUNCTION("""COMPUTED_VALUE"""),"Рогожкин Г.")</f>
        <v>Рогожкин Г.</v>
      </c>
      <c r="C190" s="33">
        <f ca="1">IFERROR(__xludf.DUMMYFUNCTION("""COMPUTED_VALUE"""),3)</f>
        <v>3</v>
      </c>
      <c r="D190" s="19" t="str">
        <f ca="1">IFERROR(__xludf.DUMMYFUNCTION("""COMPUTED_VALUE"""),"МА")</f>
        <v>МА</v>
      </c>
      <c r="E190" s="19" t="str">
        <f ca="1">IFERROR(__xludf.DUMMYFUNCTION("""COMPUTED_VALUE"""),"копия")</f>
        <v>копия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2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/>
  </sheetViews>
  <sheetFormatPr defaultColWidth="14.42578125" defaultRowHeight="15" customHeight="1"/>
  <cols>
    <col min="1" max="1" width="8.5703125" customWidth="1"/>
    <col min="2" max="2" width="29" customWidth="1"/>
    <col min="3" max="3" width="19.140625" customWidth="1"/>
    <col min="4" max="4" width="12.42578125" hidden="1" customWidth="1"/>
    <col min="5" max="5" width="16.5703125" customWidth="1"/>
    <col min="6" max="6" width="7.28515625" customWidth="1"/>
    <col min="7" max="15" width="8.85546875" customWidth="1"/>
    <col min="16" max="26" width="8.7109375" customWidth="1"/>
  </cols>
  <sheetData>
    <row r="1" spans="1:26" ht="17.25">
      <c r="A1" s="79"/>
      <c r="B1" s="72"/>
      <c r="C1" s="72"/>
      <c r="D1" s="3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780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781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72"/>
      <c r="E5" s="72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782</v>
      </c>
      <c r="B6" s="18" t="s">
        <v>783</v>
      </c>
      <c r="C6" s="16" t="s">
        <v>784</v>
      </c>
      <c r="D6" s="5"/>
      <c r="E6" s="16" t="s">
        <v>785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IFERROR(__xludf.DUMMYFUNCTION("FILTER(Inbox_Data!F2:I1004,Inbox_Data!H2:H1004=""МСР"")"),"Сапелкин И.")</f>
        <v>Сапелкин И.</v>
      </c>
      <c r="C7" s="22" t="str">
        <f ca="1">IFERROR(__xludf.DUMMYFUNCTION("""COMPUTED_VALUE"""),"3.26")</f>
        <v>3.26</v>
      </c>
      <c r="D7" s="20" t="str">
        <f ca="1">IFERROR(__xludf.DUMMYFUNCTION("""COMPUTED_VALUE"""),"МСР")</f>
        <v>МСР</v>
      </c>
      <c r="E7" s="20" t="str">
        <f ca="1">IFERROR(__xludf.DUMMYFUNCTION("""COMPUTED_VALUE"""),"копия")</f>
        <v>копия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IFERROR(__xludf.DUMMYFUNCTION("""COMPUTED_VALUE"""),"Котманов Г.")</f>
        <v>Котманов Г.</v>
      </c>
      <c r="C8" s="22">
        <f ca="1">IFERROR(__xludf.DUMMYFUNCTION("""COMPUTED_VALUE"""),3.88)</f>
        <v>3.88</v>
      </c>
      <c r="D8" s="20" t="str">
        <f ca="1">IFERROR(__xludf.DUMMYFUNCTION("""COMPUTED_VALUE"""),"МСР")</f>
        <v>МСР</v>
      </c>
      <c r="E8" s="20" t="str">
        <f ca="1">IFERROR(__xludf.DUMMYFUNCTION("""COMPUTED_VALUE"""),"копия")</f>
        <v>копия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IFERROR(__xludf.DUMMYFUNCTION("""COMPUTED_VALUE"""),"Карманов Е.")</f>
        <v>Карманов Е.</v>
      </c>
      <c r="C9" s="22">
        <f ca="1">IFERROR(__xludf.DUMMYFUNCTION("""COMPUTED_VALUE"""),3.85)</f>
        <v>3.85</v>
      </c>
      <c r="D9" s="20" t="str">
        <f ca="1">IFERROR(__xludf.DUMMYFUNCTION("""COMPUTED_VALUE"""),"МСР")</f>
        <v>МСР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IFERROR(__xludf.DUMMYFUNCTION("""COMPUTED_VALUE"""),"Тоноян Г.")</f>
        <v>Тоноян Г.</v>
      </c>
      <c r="C10" s="22">
        <f ca="1">IFERROR(__xludf.DUMMYFUNCTION("""COMPUTED_VALUE"""),3.79)</f>
        <v>3.79</v>
      </c>
      <c r="D10" s="20" t="str">
        <f ca="1">IFERROR(__xludf.DUMMYFUNCTION("""COMPUTED_VALUE"""),"МСР")</f>
        <v>МСР</v>
      </c>
      <c r="E10" s="20" t="str">
        <f ca="1">IFERROR(__xludf.DUMMYFUNCTION("""COMPUTED_VALUE"""),"копия")</f>
        <v>копия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IFERROR(__xludf.DUMMYFUNCTION("""COMPUTED_VALUE"""),"Хворов М.")</f>
        <v>Хворов М.</v>
      </c>
      <c r="C11" s="22">
        <f ca="1">IFERROR(__xludf.DUMMYFUNCTION("""COMPUTED_VALUE"""),3.78)</f>
        <v>3.78</v>
      </c>
      <c r="D11" s="20" t="str">
        <f ca="1">IFERROR(__xludf.DUMMYFUNCTION("""COMPUTED_VALUE"""),"МСР")</f>
        <v>МСР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IFERROR(__xludf.DUMMYFUNCTION("""COMPUTED_VALUE"""),"Сердитов М.")</f>
        <v>Сердитов М.</v>
      </c>
      <c r="C12" s="22">
        <f ca="1">IFERROR(__xludf.DUMMYFUNCTION("""COMPUTED_VALUE"""),3.78)</f>
        <v>3.78</v>
      </c>
      <c r="D12" s="20" t="str">
        <f ca="1">IFERROR(__xludf.DUMMYFUNCTION("""COMPUTED_VALUE"""),"МСР")</f>
        <v>МСР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5" t="str">
        <f ca="1">IFERROR(__xludf.DUMMYFUNCTION("""COMPUTED_VALUE"""),"Рочев М. А.")</f>
        <v>Рочев М. А.</v>
      </c>
      <c r="C13" s="69">
        <f ca="1">IFERROR(__xludf.DUMMYFUNCTION("""COMPUTED_VALUE"""),3.78)</f>
        <v>3.78</v>
      </c>
      <c r="D13" s="25" t="str">
        <f ca="1">IFERROR(__xludf.DUMMYFUNCTION("""COMPUTED_VALUE"""),"МСР")</f>
        <v>МСР</v>
      </c>
      <c r="E13" s="25" t="str">
        <f ca="1">IFERROR(__xludf.DUMMYFUNCTION("""COMPUTED_VALUE"""),"оригинал")</f>
        <v>оригинал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5" t="str">
        <f ca="1">IFERROR(__xludf.DUMMYFUNCTION("""COMPUTED_VALUE"""),"Хворов М.")</f>
        <v>Хворов М.</v>
      </c>
      <c r="C14" s="69">
        <f ca="1">IFERROR(__xludf.DUMMYFUNCTION("""COMPUTED_VALUE"""),3.77)</f>
        <v>3.77</v>
      </c>
      <c r="D14" s="25" t="str">
        <f ca="1">IFERROR(__xludf.DUMMYFUNCTION("""COMPUTED_VALUE"""),"МСР")</f>
        <v>МСР</v>
      </c>
      <c r="E14" s="25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5" t="str">
        <f ca="1">IFERROR(__xludf.DUMMYFUNCTION("""COMPUTED_VALUE"""),"Ивонин С.")</f>
        <v>Ивонин С.</v>
      </c>
      <c r="C15" s="69">
        <f ca="1">IFERROR(__xludf.DUMMYFUNCTION("""COMPUTED_VALUE"""),3.72)</f>
        <v>3.72</v>
      </c>
      <c r="D15" s="25" t="str">
        <f ca="1">IFERROR(__xludf.DUMMYFUNCTION("""COMPUTED_VALUE"""),"МСР")</f>
        <v>МСР</v>
      </c>
      <c r="E15" s="25" t="str">
        <f ca="1">IFERROR(__xludf.DUMMYFUNCTION("""COMPUTED_VALUE"""),"копия")</f>
        <v>копия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5" t="str">
        <f ca="1">IFERROR(__xludf.DUMMYFUNCTION("""COMPUTED_VALUE"""),"Кузиванов Г.")</f>
        <v>Кузиванов Г.</v>
      </c>
      <c r="C16" s="69">
        <f ca="1">IFERROR(__xludf.DUMMYFUNCTION("""COMPUTED_VALUE"""),3.72)</f>
        <v>3.72</v>
      </c>
      <c r="D16" s="25" t="str">
        <f ca="1">IFERROR(__xludf.DUMMYFUNCTION("""COMPUTED_VALUE"""),"МСР")</f>
        <v>МСР</v>
      </c>
      <c r="E16" s="25" t="str">
        <f ca="1">IFERROR(__xludf.DUMMYFUNCTION("""COMPUTED_VALUE"""),"копия")</f>
        <v>копия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5" t="str">
        <f ca="1">IFERROR(__xludf.DUMMYFUNCTION("""COMPUTED_VALUE"""),"Карманов А.")</f>
        <v>Карманов А.</v>
      </c>
      <c r="C17" s="69">
        <f ca="1">IFERROR(__xludf.DUMMYFUNCTION("""COMPUTED_VALUE"""),3.72)</f>
        <v>3.72</v>
      </c>
      <c r="D17" s="25" t="str">
        <f ca="1">IFERROR(__xludf.DUMMYFUNCTION("""COMPUTED_VALUE"""),"МСР")</f>
        <v>МСР</v>
      </c>
      <c r="E17" s="25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5" t="str">
        <f ca="1">IFERROR(__xludf.DUMMYFUNCTION("""COMPUTED_VALUE"""),"Симаков М. П.")</f>
        <v>Симаков М. П.</v>
      </c>
      <c r="C18" s="69">
        <f ca="1">IFERROR(__xludf.DUMMYFUNCTION("""COMPUTED_VALUE"""),3.7)</f>
        <v>3.7</v>
      </c>
      <c r="D18" s="25" t="str">
        <f ca="1">IFERROR(__xludf.DUMMYFUNCTION("""COMPUTED_VALUE"""),"МСР")</f>
        <v>МСР</v>
      </c>
      <c r="E18" s="25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5" t="str">
        <f ca="1">IFERROR(__xludf.DUMMYFUNCTION("""COMPUTED_VALUE"""),"Жеребцов В.")</f>
        <v>Жеребцов В.</v>
      </c>
      <c r="C19" s="69">
        <f ca="1">IFERROR(__xludf.DUMMYFUNCTION("""COMPUTED_VALUE"""),3.66)</f>
        <v>3.66</v>
      </c>
      <c r="D19" s="25" t="str">
        <f ca="1">IFERROR(__xludf.DUMMYFUNCTION("""COMPUTED_VALUE"""),"МСР")</f>
        <v>МСР</v>
      </c>
      <c r="E19" s="25" t="str">
        <f ca="1">IFERROR(__xludf.DUMMYFUNCTION("""COMPUTED_VALUE"""),"оригинал")</f>
        <v>оригинал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5" t="str">
        <f ca="1">IFERROR(__xludf.DUMMYFUNCTION("""COMPUTED_VALUE"""),"Ремейкис М.")</f>
        <v>Ремейкис М.</v>
      </c>
      <c r="C20" s="69">
        <f ca="1">IFERROR(__xludf.DUMMYFUNCTION("""COMPUTED_VALUE"""),3.65)</f>
        <v>3.65</v>
      </c>
      <c r="D20" s="25" t="str">
        <f ca="1">IFERROR(__xludf.DUMMYFUNCTION("""COMPUTED_VALUE"""),"МСР")</f>
        <v>МСР</v>
      </c>
      <c r="E20" s="25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5" t="str">
        <f ca="1">IFERROR(__xludf.DUMMYFUNCTION("""COMPUTED_VALUE"""),"Шадрин Я.")</f>
        <v>Шадрин Я.</v>
      </c>
      <c r="C21" s="69">
        <f ca="1">IFERROR(__xludf.DUMMYFUNCTION("""COMPUTED_VALUE"""),3.63)</f>
        <v>3.63</v>
      </c>
      <c r="D21" s="25" t="str">
        <f ca="1">IFERROR(__xludf.DUMMYFUNCTION("""COMPUTED_VALUE"""),"МСР")</f>
        <v>МСР</v>
      </c>
      <c r="E21" s="25" t="str">
        <f ca="1">IFERROR(__xludf.DUMMYFUNCTION("""COMPUTED_VALUE"""),"копия")</f>
        <v>копия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5" t="str">
        <f ca="1">IFERROR(__xludf.DUMMYFUNCTION("""COMPUTED_VALUE"""),"Румянцев Д.")</f>
        <v>Румянцев Д.</v>
      </c>
      <c r="C22" s="69">
        <f ca="1">IFERROR(__xludf.DUMMYFUNCTION("""COMPUTED_VALUE"""),3.62)</f>
        <v>3.62</v>
      </c>
      <c r="D22" s="25" t="str">
        <f ca="1">IFERROR(__xludf.DUMMYFUNCTION("""COMPUTED_VALUE"""),"МСР")</f>
        <v>МСР</v>
      </c>
      <c r="E22" s="25" t="str">
        <f ca="1">IFERROR(__xludf.DUMMYFUNCTION("""COMPUTED_VALUE"""),"оригинал")</f>
        <v>оригинал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5" t="str">
        <f ca="1">IFERROR(__xludf.DUMMYFUNCTION("""COMPUTED_VALUE"""),"Волков М.")</f>
        <v>Волков М.</v>
      </c>
      <c r="C23" s="25">
        <f ca="1">IFERROR(__xludf.DUMMYFUNCTION("""COMPUTED_VALUE"""),3.6)</f>
        <v>3.6</v>
      </c>
      <c r="D23" s="25" t="str">
        <f ca="1">IFERROR(__xludf.DUMMYFUNCTION("""COMPUTED_VALUE"""),"МСР")</f>
        <v>МСР</v>
      </c>
      <c r="E23" s="25" t="str">
        <f ca="1">IFERROR(__xludf.DUMMYFUNCTION("""COMPUTED_VALUE"""),"оригинал")</f>
        <v>оригинал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5" t="str">
        <f ca="1">IFERROR(__xludf.DUMMYFUNCTION("""COMPUTED_VALUE"""),"Дик Л. С.")</f>
        <v>Дик Л. С.</v>
      </c>
      <c r="C24" s="69">
        <f ca="1">IFERROR(__xludf.DUMMYFUNCTION("""COMPUTED_VALUE"""),3.58)</f>
        <v>3.58</v>
      </c>
      <c r="D24" s="25" t="str">
        <f ca="1">IFERROR(__xludf.DUMMYFUNCTION("""COMPUTED_VALUE"""),"МСР")</f>
        <v>МСР</v>
      </c>
      <c r="E24" s="25" t="str">
        <f ca="1">IFERROR(__xludf.DUMMYFUNCTION("""COMPUTED_VALUE"""),"оригинал")</f>
        <v>оригинал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25" t="str">
        <f ca="1">IFERROR(__xludf.DUMMYFUNCTION("""COMPUTED_VALUE"""),"Софин И.")</f>
        <v>Софин И.</v>
      </c>
      <c r="C25" s="69">
        <f ca="1">IFERROR(__xludf.DUMMYFUNCTION("""COMPUTED_VALUE"""),3.57)</f>
        <v>3.57</v>
      </c>
      <c r="D25" s="25" t="str">
        <f ca="1">IFERROR(__xludf.DUMMYFUNCTION("""COMPUTED_VALUE"""),"МСР")</f>
        <v>МСР</v>
      </c>
      <c r="E25" s="25" t="str">
        <f ca="1">IFERROR(__xludf.DUMMYFUNCTION("""COMPUTED_VALUE"""),"копия")</f>
        <v>копия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25" t="str">
        <f ca="1">IFERROR(__xludf.DUMMYFUNCTION("""COMPUTED_VALUE"""),"Дигель Р. А.")</f>
        <v>Дигель Р. А.</v>
      </c>
      <c r="C26" s="69">
        <f ca="1">IFERROR(__xludf.DUMMYFUNCTION("""COMPUTED_VALUE"""),3.57)</f>
        <v>3.57</v>
      </c>
      <c r="D26" s="25" t="str">
        <f ca="1">IFERROR(__xludf.DUMMYFUNCTION("""COMPUTED_VALUE"""),"МСР")</f>
        <v>МСР</v>
      </c>
      <c r="E26" s="25" t="str">
        <f ca="1">IFERROR(__xludf.DUMMYFUNCTION("""COMPUTED_VALUE"""),"оригинал")</f>
        <v>оригинал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25" t="str">
        <f ca="1">IFERROR(__xludf.DUMMYFUNCTION("""COMPUTED_VALUE"""),"Тепляков С.")</f>
        <v>Тепляков С.</v>
      </c>
      <c r="C27" s="69">
        <f ca="1">IFERROR(__xludf.DUMMYFUNCTION("""COMPUTED_VALUE"""),3.56)</f>
        <v>3.56</v>
      </c>
      <c r="D27" s="25" t="str">
        <f ca="1">IFERROR(__xludf.DUMMYFUNCTION("""COMPUTED_VALUE"""),"МСР")</f>
        <v>МСР</v>
      </c>
      <c r="E27" s="25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25" t="str">
        <f ca="1">IFERROR(__xludf.DUMMYFUNCTION("""COMPUTED_VALUE"""),"Малаков Е.")</f>
        <v>Малаков Е.</v>
      </c>
      <c r="C28" s="69">
        <f ca="1">IFERROR(__xludf.DUMMYFUNCTION("""COMPUTED_VALUE"""),3.55)</f>
        <v>3.55</v>
      </c>
      <c r="D28" s="25" t="str">
        <f ca="1">IFERROR(__xludf.DUMMYFUNCTION("""COMPUTED_VALUE"""),"МСР")</f>
        <v>МСР</v>
      </c>
      <c r="E28" s="25" t="str">
        <f ca="1">IFERROR(__xludf.DUMMYFUNCTION("""COMPUTED_VALUE"""),"оригинал")</f>
        <v>оригинал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25" t="str">
        <f ca="1">IFERROR(__xludf.DUMMYFUNCTION("""COMPUTED_VALUE"""),"Беляков М.")</f>
        <v>Беляков М.</v>
      </c>
      <c r="C29" s="69">
        <f ca="1">IFERROR(__xludf.DUMMYFUNCTION("""COMPUTED_VALUE"""),3.53)</f>
        <v>3.53</v>
      </c>
      <c r="D29" s="25" t="str">
        <f ca="1">IFERROR(__xludf.DUMMYFUNCTION("""COMPUTED_VALUE"""),"МСР")</f>
        <v>МСР</v>
      </c>
      <c r="E29" s="25" t="str">
        <f ca="1">IFERROR(__xludf.DUMMYFUNCTION("""COMPUTED_VALUE"""),"копия")</f>
        <v>копия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30">
        <v>24</v>
      </c>
      <c r="B30" s="25" t="str">
        <f ca="1">IFERROR(__xludf.DUMMYFUNCTION("""COMPUTED_VALUE"""),"Рассыхаева К.")</f>
        <v>Рассыхаева К.</v>
      </c>
      <c r="C30" s="70">
        <f ca="1">IFERROR(__xludf.DUMMYFUNCTION("""COMPUTED_VALUE"""),3.52)</f>
        <v>3.52</v>
      </c>
      <c r="D30" s="32" t="str">
        <f ca="1">IFERROR(__xludf.DUMMYFUNCTION("""COMPUTED_VALUE"""),"МСР")</f>
        <v>МСР</v>
      </c>
      <c r="E30" s="25" t="str">
        <f ca="1">IFERROR(__xludf.DUMMYFUNCTION("""COMPUTED_VALUE"""),"копия")</f>
        <v>копия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30">
        <v>25</v>
      </c>
      <c r="B31" s="25" t="str">
        <f ca="1">IFERROR(__xludf.DUMMYFUNCTION("""COMPUTED_VALUE"""),"Карнаухов Н. А.")</f>
        <v>Карнаухов Н. А.</v>
      </c>
      <c r="C31" s="70">
        <f ca="1">IFERROR(__xludf.DUMMYFUNCTION("""COMPUTED_VALUE"""),3.52)</f>
        <v>3.52</v>
      </c>
      <c r="D31" s="32" t="str">
        <f ca="1">IFERROR(__xludf.DUMMYFUNCTION("""COMPUTED_VALUE"""),"МСР")</f>
        <v>МСР</v>
      </c>
      <c r="E31" s="25" t="str">
        <f ca="1">IFERROR(__xludf.DUMMYFUNCTION("""COMPUTED_VALUE"""),"оригинал")</f>
        <v>оригинал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30">
        <v>26</v>
      </c>
      <c r="B32" s="25" t="str">
        <f ca="1">IFERROR(__xludf.DUMMYFUNCTION("""COMPUTED_VALUE"""),"Шпулинг А.")</f>
        <v>Шпулинг А.</v>
      </c>
      <c r="C32" s="70">
        <f ca="1">IFERROR(__xludf.DUMMYFUNCTION("""COMPUTED_VALUE"""),3.5)</f>
        <v>3.5</v>
      </c>
      <c r="D32" s="32" t="str">
        <f ca="1">IFERROR(__xludf.DUMMYFUNCTION("""COMPUTED_VALUE"""),"МСР")</f>
        <v>МСР</v>
      </c>
      <c r="E32" s="25" t="str">
        <f ca="1">IFERROR(__xludf.DUMMYFUNCTION("""COMPUTED_VALUE"""),"копия")</f>
        <v>копия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30">
        <v>27</v>
      </c>
      <c r="B33" s="25" t="str">
        <f ca="1">IFERROR(__xludf.DUMMYFUNCTION("""COMPUTED_VALUE"""),"Кожевников А.")</f>
        <v>Кожевников А.</v>
      </c>
      <c r="C33" s="70">
        <f ca="1">IFERROR(__xludf.DUMMYFUNCTION("""COMPUTED_VALUE"""),3.5)</f>
        <v>3.5</v>
      </c>
      <c r="D33" s="32" t="str">
        <f ca="1">IFERROR(__xludf.DUMMYFUNCTION("""COMPUTED_VALUE"""),"МСР")</f>
        <v>МСР</v>
      </c>
      <c r="E33" s="25" t="str">
        <f ca="1">IFERROR(__xludf.DUMMYFUNCTION("""COMPUTED_VALUE"""),"копия")</f>
        <v>копия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6" ht="13.5" customHeight="1">
      <c r="A34" s="30">
        <v>28</v>
      </c>
      <c r="B34" s="25" t="str">
        <f ca="1">IFERROR(__xludf.DUMMYFUNCTION("""COMPUTED_VALUE"""),"Ипатов Д.")</f>
        <v>Ипатов Д.</v>
      </c>
      <c r="C34" s="70">
        <f ca="1">IFERROR(__xludf.DUMMYFUNCTION("""COMPUTED_VALUE"""),3.5)</f>
        <v>3.5</v>
      </c>
      <c r="D34" s="32" t="str">
        <f ca="1">IFERROR(__xludf.DUMMYFUNCTION("""COMPUTED_VALUE"""),"МСР")</f>
        <v>МСР</v>
      </c>
      <c r="E34" s="25" t="str">
        <f ca="1">IFERROR(__xludf.DUMMYFUNCTION("""COMPUTED_VALUE"""),"копия")</f>
        <v>копия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>
      <c r="A35" s="30">
        <v>29</v>
      </c>
      <c r="B35" s="25" t="str">
        <f ca="1">IFERROR(__xludf.DUMMYFUNCTION("""COMPUTED_VALUE"""),"Потапов Р.")</f>
        <v>Потапов Р.</v>
      </c>
      <c r="C35" s="70">
        <f ca="1">IFERROR(__xludf.DUMMYFUNCTION("""COMPUTED_VALUE"""),3.5)</f>
        <v>3.5</v>
      </c>
      <c r="D35" s="32" t="str">
        <f ca="1">IFERROR(__xludf.DUMMYFUNCTION("""COMPUTED_VALUE"""),"МСР")</f>
        <v>МСР</v>
      </c>
      <c r="E35" s="25" t="str">
        <f ca="1">IFERROR(__xludf.DUMMYFUNCTION("""COMPUTED_VALUE"""),"копия")</f>
        <v>копия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>
      <c r="A36" s="30">
        <v>30</v>
      </c>
      <c r="B36" s="25" t="str">
        <f ca="1">IFERROR(__xludf.DUMMYFUNCTION("""COMPUTED_VALUE"""),"Леонов К. В.")</f>
        <v>Леонов К. В.</v>
      </c>
      <c r="C36" s="70">
        <f ca="1">IFERROR(__xludf.DUMMYFUNCTION("""COMPUTED_VALUE"""),3.5)</f>
        <v>3.5</v>
      </c>
      <c r="D36" s="32" t="str">
        <f ca="1">IFERROR(__xludf.DUMMYFUNCTION("""COMPUTED_VALUE"""),"МСР")</f>
        <v>МСР</v>
      </c>
      <c r="E36" s="25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>
      <c r="A37" s="30">
        <v>31</v>
      </c>
      <c r="B37" s="25" t="str">
        <f ca="1">IFERROR(__xludf.DUMMYFUNCTION("""COMPUTED_VALUE"""),"Столетов Б.")</f>
        <v>Столетов Б.</v>
      </c>
      <c r="C37" s="70">
        <f ca="1">IFERROR(__xludf.DUMMYFUNCTION("""COMPUTED_VALUE"""),3.47)</f>
        <v>3.47</v>
      </c>
      <c r="D37" s="32" t="str">
        <f ca="1">IFERROR(__xludf.DUMMYFUNCTION("""COMPUTED_VALUE"""),"МСР")</f>
        <v>МСР</v>
      </c>
      <c r="E37" s="25" t="str">
        <f ca="1">IFERROR(__xludf.DUMMYFUNCTION("""COMPUTED_VALUE"""),"копия")</f>
        <v>копия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6" ht="13.5" customHeight="1">
      <c r="A38" s="30">
        <v>32</v>
      </c>
      <c r="B38" s="25" t="str">
        <f ca="1">IFERROR(__xludf.DUMMYFUNCTION("""COMPUTED_VALUE"""),"Кочанова Н.")</f>
        <v>Кочанова Н.</v>
      </c>
      <c r="C38" s="70">
        <f ca="1">IFERROR(__xludf.DUMMYFUNCTION("""COMPUTED_VALUE"""),3.47)</f>
        <v>3.47</v>
      </c>
      <c r="D38" s="32" t="str">
        <f ca="1">IFERROR(__xludf.DUMMYFUNCTION("""COMPUTED_VALUE"""),"МСР")</f>
        <v>МСР</v>
      </c>
      <c r="E38" s="25" t="str">
        <f ca="1">IFERROR(__xludf.DUMMYFUNCTION("""COMPUTED_VALUE"""),"копия")</f>
        <v>копия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6" ht="13.5" customHeight="1">
      <c r="A39" s="30">
        <v>33</v>
      </c>
      <c r="B39" s="25" t="str">
        <f ca="1">IFERROR(__xludf.DUMMYFUNCTION("""COMPUTED_VALUE"""),"Жебов А.")</f>
        <v>Жебов А.</v>
      </c>
      <c r="C39" s="70">
        <f ca="1">IFERROR(__xludf.DUMMYFUNCTION("""COMPUTED_VALUE"""),3.47)</f>
        <v>3.47</v>
      </c>
      <c r="D39" s="32" t="str">
        <f ca="1">IFERROR(__xludf.DUMMYFUNCTION("""COMPUTED_VALUE"""),"МСР")</f>
        <v>МСР</v>
      </c>
      <c r="E39" s="25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6" ht="13.5" customHeight="1">
      <c r="A40" s="30">
        <v>34</v>
      </c>
      <c r="B40" s="25" t="str">
        <f ca="1">IFERROR(__xludf.DUMMYFUNCTION("""COMPUTED_VALUE"""),"Казаку Г.")</f>
        <v>Казаку Г.</v>
      </c>
      <c r="C40" s="70">
        <f ca="1">IFERROR(__xludf.DUMMYFUNCTION("""COMPUTED_VALUE"""),3.44)</f>
        <v>3.44</v>
      </c>
      <c r="D40" s="32" t="str">
        <f ca="1">IFERROR(__xludf.DUMMYFUNCTION("""COMPUTED_VALUE"""),"МСР")</f>
        <v>МСР</v>
      </c>
      <c r="E40" s="25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6" ht="13.5" customHeight="1">
      <c r="A41" s="30">
        <v>35</v>
      </c>
      <c r="B41" s="25" t="str">
        <f ca="1">IFERROR(__xludf.DUMMYFUNCTION("""COMPUTED_VALUE"""),"Мазурчик А.")</f>
        <v>Мазурчик А.</v>
      </c>
      <c r="C41" s="70">
        <f ca="1">IFERROR(__xludf.DUMMYFUNCTION("""COMPUTED_VALUE"""),3.44)</f>
        <v>3.44</v>
      </c>
      <c r="D41" s="32" t="str">
        <f ca="1">IFERROR(__xludf.DUMMYFUNCTION("""COMPUTED_VALUE"""),"МСР")</f>
        <v>МСР</v>
      </c>
      <c r="E41" s="25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6" ht="13.5" customHeight="1">
      <c r="A42" s="30">
        <v>36</v>
      </c>
      <c r="B42" s="25" t="str">
        <f ca="1">IFERROR(__xludf.DUMMYFUNCTION("""COMPUTED_VALUE"""),"Девятков А.")</f>
        <v>Девятков А.</v>
      </c>
      <c r="C42" s="70">
        <f ca="1">IFERROR(__xludf.DUMMYFUNCTION("""COMPUTED_VALUE"""),3.44)</f>
        <v>3.44</v>
      </c>
      <c r="D42" s="32" t="str">
        <f ca="1">IFERROR(__xludf.DUMMYFUNCTION("""COMPUTED_VALUE"""),"МСР")</f>
        <v>МСР</v>
      </c>
      <c r="E42" s="25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6" ht="13.5" customHeight="1">
      <c r="A43" s="30">
        <v>37</v>
      </c>
      <c r="B43" s="25" t="str">
        <f ca="1">IFERROR(__xludf.DUMMYFUNCTION("""COMPUTED_VALUE"""),"Прокудин Д.")</f>
        <v>Прокудин Д.</v>
      </c>
      <c r="C43" s="70">
        <f ca="1">IFERROR(__xludf.DUMMYFUNCTION("""COMPUTED_VALUE"""),3.44)</f>
        <v>3.44</v>
      </c>
      <c r="D43" s="32" t="str">
        <f ca="1">IFERROR(__xludf.DUMMYFUNCTION("""COMPUTED_VALUE"""),"МСР")</f>
        <v>МСР</v>
      </c>
      <c r="E43" s="25" t="str">
        <f ca="1">IFERROR(__xludf.DUMMYFUNCTION("""COMPUTED_VALUE"""),"оригинал ")</f>
        <v xml:space="preserve">оригинал 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6" ht="13.5" customHeight="1">
      <c r="A44" s="30">
        <v>38</v>
      </c>
      <c r="B44" s="25" t="str">
        <f ca="1">IFERROR(__xludf.DUMMYFUNCTION("""COMPUTED_VALUE"""),"Снотчек С.")</f>
        <v>Снотчек С.</v>
      </c>
      <c r="C44" s="70">
        <f ca="1">IFERROR(__xludf.DUMMYFUNCTION("""COMPUTED_VALUE"""),3.44)</f>
        <v>3.44</v>
      </c>
      <c r="D44" s="32" t="str">
        <f ca="1">IFERROR(__xludf.DUMMYFUNCTION("""COMPUTED_VALUE"""),"МСР")</f>
        <v>МСР</v>
      </c>
      <c r="E44" s="25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6" ht="13.5" customHeight="1">
      <c r="A45" s="30">
        <v>39</v>
      </c>
      <c r="B45" s="25" t="str">
        <f ca="1">IFERROR(__xludf.DUMMYFUNCTION("""COMPUTED_VALUE"""),"Юцкевич Е. В.")</f>
        <v>Юцкевич Е. В.</v>
      </c>
      <c r="C45" s="70">
        <f ca="1">IFERROR(__xludf.DUMMYFUNCTION("""COMPUTED_VALUE"""),3.44)</f>
        <v>3.44</v>
      </c>
      <c r="D45" s="32" t="str">
        <f ca="1">IFERROR(__xludf.DUMMYFUNCTION("""COMPUTED_VALUE"""),"МСР")</f>
        <v>МСР</v>
      </c>
      <c r="E45" s="25" t="str">
        <f ca="1">IFERROR(__xludf.DUMMYFUNCTION("""COMPUTED_VALUE"""),"оригинал ")</f>
        <v xml:space="preserve">оригинал 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6" ht="13.5" customHeight="1">
      <c r="A46" s="30">
        <v>40</v>
      </c>
      <c r="B46" s="25" t="str">
        <f ca="1">IFERROR(__xludf.DUMMYFUNCTION("""COMPUTED_VALUE"""),"Глушко В. М.")</f>
        <v>Глушко В. М.</v>
      </c>
      <c r="C46" s="70">
        <f ca="1">IFERROR(__xludf.DUMMYFUNCTION("""COMPUTED_VALUE"""),3.44)</f>
        <v>3.44</v>
      </c>
      <c r="D46" s="32" t="str">
        <f ca="1">IFERROR(__xludf.DUMMYFUNCTION("""COMPUTED_VALUE"""),"МСР")</f>
        <v>МСР</v>
      </c>
      <c r="E46" s="25" t="str">
        <f ca="1">IFERROR(__xludf.DUMMYFUNCTION("""COMPUTED_VALUE"""),"оригинал")</f>
        <v>оригинал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6" ht="13.5" customHeight="1">
      <c r="A47" s="30">
        <v>41</v>
      </c>
      <c r="B47" s="25" t="str">
        <f ca="1">IFERROR(__xludf.DUMMYFUNCTION("""COMPUTED_VALUE"""),"Попов Р.")</f>
        <v>Попов Р.</v>
      </c>
      <c r="C47" s="70">
        <f ca="1">IFERROR(__xludf.DUMMYFUNCTION("""COMPUTED_VALUE"""),3.42)</f>
        <v>3.42</v>
      </c>
      <c r="D47" s="32" t="str">
        <f ca="1">IFERROR(__xludf.DUMMYFUNCTION("""COMPUTED_VALUE"""),"МСР")</f>
        <v>МСР</v>
      </c>
      <c r="E47" s="25" t="str">
        <f ca="1">IFERROR(__xludf.DUMMYFUNCTION("""COMPUTED_VALUE"""),"копия")</f>
        <v>копия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6" ht="13.5" customHeight="1">
      <c r="A48" s="30">
        <v>42</v>
      </c>
      <c r="B48" s="25" t="str">
        <f ca="1">IFERROR(__xludf.DUMMYFUNCTION("""COMPUTED_VALUE"""),"Мальцев М. В.")</f>
        <v>Мальцев М. В.</v>
      </c>
      <c r="C48" s="70">
        <f ca="1">IFERROR(__xludf.DUMMYFUNCTION("""COMPUTED_VALUE"""),3.42)</f>
        <v>3.42</v>
      </c>
      <c r="D48" s="32" t="str">
        <f ca="1">IFERROR(__xludf.DUMMYFUNCTION("""COMPUTED_VALUE"""),"МСР")</f>
        <v>МСР</v>
      </c>
      <c r="E48" s="25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30">
        <v>43</v>
      </c>
      <c r="B49" s="25" t="str">
        <f ca="1">IFERROR(__xludf.DUMMYFUNCTION("""COMPUTED_VALUE"""),"Нефедов А.")</f>
        <v>Нефедов А.</v>
      </c>
      <c r="C49" s="70">
        <f ca="1">IFERROR(__xludf.DUMMYFUNCTION("""COMPUTED_VALUE"""),3.4)</f>
        <v>3.4</v>
      </c>
      <c r="D49" s="32" t="str">
        <f ca="1">IFERROR(__xludf.DUMMYFUNCTION("""COMPUTED_VALUE"""),"МСР")</f>
        <v>МСР</v>
      </c>
      <c r="E49" s="25" t="str">
        <f ca="1">IFERROR(__xludf.DUMMYFUNCTION("""COMPUTED_VALUE"""),"копия")</f>
        <v>копия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30">
        <v>44</v>
      </c>
      <c r="B50" s="25" t="str">
        <f ca="1">IFERROR(__xludf.DUMMYFUNCTION("""COMPUTED_VALUE"""),"Булатов В.")</f>
        <v>Булатов В.</v>
      </c>
      <c r="C50" s="70">
        <f ca="1">IFERROR(__xludf.DUMMYFUNCTION("""COMPUTED_VALUE"""),3.38)</f>
        <v>3.38</v>
      </c>
      <c r="D50" s="32" t="str">
        <f ca="1">IFERROR(__xludf.DUMMYFUNCTION("""COMPUTED_VALUE"""),"МСР")</f>
        <v>МСР</v>
      </c>
      <c r="E50" s="25" t="str">
        <f ca="1">IFERROR(__xludf.DUMMYFUNCTION("""COMPUTED_VALUE"""),"копия")</f>
        <v>копия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30">
        <v>45</v>
      </c>
      <c r="B51" s="25" t="str">
        <f ca="1">IFERROR(__xludf.DUMMYFUNCTION("""COMPUTED_VALUE"""),"Рябов А. С.")</f>
        <v>Рябов А. С.</v>
      </c>
      <c r="C51" s="70">
        <f ca="1">IFERROR(__xludf.DUMMYFUNCTION("""COMPUTED_VALUE"""),3.37)</f>
        <v>3.37</v>
      </c>
      <c r="D51" s="32" t="str">
        <f ca="1">IFERROR(__xludf.DUMMYFUNCTION("""COMPUTED_VALUE"""),"МСР")</f>
        <v>МСР</v>
      </c>
      <c r="E51" s="25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30">
        <v>46</v>
      </c>
      <c r="B52" s="25" t="str">
        <f ca="1">IFERROR(__xludf.DUMMYFUNCTION("""COMPUTED_VALUE"""),"Рябов А. С.")</f>
        <v>Рябов А. С.</v>
      </c>
      <c r="C52" s="70">
        <f ca="1">IFERROR(__xludf.DUMMYFUNCTION("""COMPUTED_VALUE"""),3.37)</f>
        <v>3.37</v>
      </c>
      <c r="D52" s="32" t="str">
        <f ca="1">IFERROR(__xludf.DUMMYFUNCTION("""COMPUTED_VALUE"""),"МСР")</f>
        <v>МСР</v>
      </c>
      <c r="E52" s="25" t="str">
        <f ca="1">IFERROR(__xludf.DUMMYFUNCTION("""COMPUTED_VALUE"""),"оригинал")</f>
        <v>оригинал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30">
        <v>47</v>
      </c>
      <c r="B53" s="25" t="str">
        <f ca="1">IFERROR(__xludf.DUMMYFUNCTION("""COMPUTED_VALUE"""),"Мишарин М.")</f>
        <v>Мишарин М.</v>
      </c>
      <c r="C53" s="70">
        <f ca="1">IFERROR(__xludf.DUMMYFUNCTION("""COMPUTED_VALUE"""),3.36)</f>
        <v>3.36</v>
      </c>
      <c r="D53" s="32" t="str">
        <f ca="1">IFERROR(__xludf.DUMMYFUNCTION("""COMPUTED_VALUE"""),"МСР")</f>
        <v>МСР</v>
      </c>
      <c r="E53" s="25" t="str">
        <f ca="1">IFERROR(__xludf.DUMMYFUNCTION("""COMPUTED_VALUE"""),"копия")</f>
        <v>копия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30">
        <v>48</v>
      </c>
      <c r="B54" s="25" t="str">
        <f ca="1">IFERROR(__xludf.DUMMYFUNCTION("""COMPUTED_VALUE"""),"Артаманов А.")</f>
        <v>Артаманов А.</v>
      </c>
      <c r="C54" s="70">
        <f ca="1">IFERROR(__xludf.DUMMYFUNCTION("""COMPUTED_VALUE"""),3.35)</f>
        <v>3.35</v>
      </c>
      <c r="D54" s="32" t="str">
        <f ca="1">IFERROR(__xludf.DUMMYFUNCTION("""COMPUTED_VALUE"""),"МСР")</f>
        <v>МСР</v>
      </c>
      <c r="E54" s="25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30">
        <v>49</v>
      </c>
      <c r="B55" s="25" t="str">
        <f ca="1">IFERROR(__xludf.DUMMYFUNCTION("""COMPUTED_VALUE"""),"Сердитов Д.")</f>
        <v>Сердитов Д.</v>
      </c>
      <c r="C55" s="70">
        <f ca="1">IFERROR(__xludf.DUMMYFUNCTION("""COMPUTED_VALUE"""),3.35)</f>
        <v>3.35</v>
      </c>
      <c r="D55" s="32" t="str">
        <f ca="1">IFERROR(__xludf.DUMMYFUNCTION("""COMPUTED_VALUE"""),"МСР")</f>
        <v>МСР</v>
      </c>
      <c r="E55" s="25" t="str">
        <f ca="1">IFERROR(__xludf.DUMMYFUNCTION("""COMPUTED_VALUE"""),"копия")</f>
        <v>копия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30">
        <v>50</v>
      </c>
      <c r="B56" s="25" t="str">
        <f ca="1">IFERROR(__xludf.DUMMYFUNCTION("""COMPUTED_VALUE"""),"Торопов Т.")</f>
        <v>Торопов Т.</v>
      </c>
      <c r="C56" s="70">
        <f ca="1">IFERROR(__xludf.DUMMYFUNCTION("""COMPUTED_VALUE"""),3.35)</f>
        <v>3.35</v>
      </c>
      <c r="D56" s="32" t="str">
        <f ca="1">IFERROR(__xludf.DUMMYFUNCTION("""COMPUTED_VALUE"""),"МСР")</f>
        <v>МСР</v>
      </c>
      <c r="E56" s="25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30">
        <v>51</v>
      </c>
      <c r="B57" s="25" t="str">
        <f ca="1">IFERROR(__xludf.DUMMYFUNCTION("""COMPUTED_VALUE"""),"Нахлупин А. В.")</f>
        <v>Нахлупин А. В.</v>
      </c>
      <c r="C57" s="70">
        <f ca="1">IFERROR(__xludf.DUMMYFUNCTION("""COMPUTED_VALUE"""),3.35)</f>
        <v>3.35</v>
      </c>
      <c r="D57" s="32" t="str">
        <f ca="1">IFERROR(__xludf.DUMMYFUNCTION("""COMPUTED_VALUE"""),"МСР")</f>
        <v>МСР</v>
      </c>
      <c r="E57" s="25" t="str">
        <f ca="1">IFERROR(__xludf.DUMMYFUNCTION("""COMPUTED_VALUE"""),"оригинал")</f>
        <v>оригинал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30">
        <v>52</v>
      </c>
      <c r="B58" s="25" t="str">
        <f ca="1">IFERROR(__xludf.DUMMYFUNCTION("""COMPUTED_VALUE"""),"Манзадей В.")</f>
        <v>Манзадей В.</v>
      </c>
      <c r="C58" s="70">
        <f ca="1">IFERROR(__xludf.DUMMYFUNCTION("""COMPUTED_VALUE"""),3.33)</f>
        <v>3.33</v>
      </c>
      <c r="D58" s="32" t="str">
        <f ca="1">IFERROR(__xludf.DUMMYFUNCTION("""COMPUTED_VALUE"""),"МСР")</f>
        <v>МСР</v>
      </c>
      <c r="E58" s="25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30">
        <v>53</v>
      </c>
      <c r="B59" s="25" t="str">
        <f ca="1">IFERROR(__xludf.DUMMYFUNCTION("""COMPUTED_VALUE"""),"Старостенко К. Е.")</f>
        <v>Старостенко К. Е.</v>
      </c>
      <c r="C59" s="70">
        <f ca="1">IFERROR(__xludf.DUMMYFUNCTION("""COMPUTED_VALUE"""),3.33)</f>
        <v>3.33</v>
      </c>
      <c r="D59" s="32" t="str">
        <f ca="1">IFERROR(__xludf.DUMMYFUNCTION("""COMPUTED_VALUE"""),"МСР")</f>
        <v>МСР</v>
      </c>
      <c r="E59" s="25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30">
        <v>54</v>
      </c>
      <c r="B60" s="25" t="str">
        <f ca="1">IFERROR(__xludf.DUMMYFUNCTION("""COMPUTED_VALUE"""),"Демиденко Н.")</f>
        <v>Демиденко Н.</v>
      </c>
      <c r="C60" s="70">
        <f ca="1">IFERROR(__xludf.DUMMYFUNCTION("""COMPUTED_VALUE"""),3.32)</f>
        <v>3.32</v>
      </c>
      <c r="D60" s="32" t="str">
        <f ca="1">IFERROR(__xludf.DUMMYFUNCTION("""COMPUTED_VALUE"""),"МСР")</f>
        <v>МСР</v>
      </c>
      <c r="E60" s="25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30">
        <v>55</v>
      </c>
      <c r="B61" s="25" t="str">
        <f ca="1">IFERROR(__xludf.DUMMYFUNCTION("""COMPUTED_VALUE"""),"Шаркова Э.")</f>
        <v>Шаркова Э.</v>
      </c>
      <c r="C61" s="70">
        <f ca="1">IFERROR(__xludf.DUMMYFUNCTION("""COMPUTED_VALUE"""),3.3)</f>
        <v>3.3</v>
      </c>
      <c r="D61" s="32" t="str">
        <f ca="1">IFERROR(__xludf.DUMMYFUNCTION("""COMPUTED_VALUE"""),"МСР")</f>
        <v>МСР</v>
      </c>
      <c r="E61" s="25" t="str">
        <f ca="1">IFERROR(__xludf.DUMMYFUNCTION("""COMPUTED_VALUE"""),"оригинал")</f>
        <v>оригинал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30">
        <v>56</v>
      </c>
      <c r="B62" s="25" t="str">
        <f ca="1">IFERROR(__xludf.DUMMYFUNCTION("""COMPUTED_VALUE"""),"Шапоров А.")</f>
        <v>Шапоров А.</v>
      </c>
      <c r="C62" s="70">
        <f ca="1">IFERROR(__xludf.DUMMYFUNCTION("""COMPUTED_VALUE"""),3.29)</f>
        <v>3.29</v>
      </c>
      <c r="D62" s="32" t="str">
        <f ca="1">IFERROR(__xludf.DUMMYFUNCTION("""COMPUTED_VALUE"""),"МСР")</f>
        <v>МСР</v>
      </c>
      <c r="E62" s="25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30">
        <v>57</v>
      </c>
      <c r="B63" s="25" t="str">
        <f ca="1">IFERROR(__xludf.DUMMYFUNCTION("""COMPUTED_VALUE"""),"Бончковский Д.")</f>
        <v>Бончковский Д.</v>
      </c>
      <c r="C63" s="70">
        <f ca="1">IFERROR(__xludf.DUMMYFUNCTION("""COMPUTED_VALUE"""),3.28)</f>
        <v>3.28</v>
      </c>
      <c r="D63" s="32" t="str">
        <f ca="1">IFERROR(__xludf.DUMMYFUNCTION("""COMPUTED_VALUE"""),"МСР")</f>
        <v>МСР</v>
      </c>
      <c r="E63" s="25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30">
        <v>58</v>
      </c>
      <c r="B64" s="25" t="str">
        <f ca="1">IFERROR(__xludf.DUMMYFUNCTION("""COMPUTED_VALUE"""),"Спирькин Н.")</f>
        <v>Спирькин Н.</v>
      </c>
      <c r="C64" s="69">
        <f ca="1">IFERROR(__xludf.DUMMYFUNCTION("""COMPUTED_VALUE"""),3.27)</f>
        <v>3.27</v>
      </c>
      <c r="D64" s="25" t="str">
        <f ca="1">IFERROR(__xludf.DUMMYFUNCTION("""COMPUTED_VALUE"""),"МСР")</f>
        <v>МСР</v>
      </c>
      <c r="E64" s="25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30">
        <v>59</v>
      </c>
      <c r="B65" s="25" t="str">
        <f ca="1">IFERROR(__xludf.DUMMYFUNCTION("""COMPUTED_VALUE"""),"Ануфриев З.")</f>
        <v>Ануфриев З.</v>
      </c>
      <c r="C65" s="69">
        <f ca="1">IFERROR(__xludf.DUMMYFUNCTION("""COMPUTED_VALUE"""),3.27)</f>
        <v>3.27</v>
      </c>
      <c r="D65" s="25" t="str">
        <f ca="1">IFERROR(__xludf.DUMMYFUNCTION("""COMPUTED_VALUE"""),"МСР")</f>
        <v>МСР</v>
      </c>
      <c r="E65" s="25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25" t="str">
        <f ca="1">IFERROR(__xludf.DUMMYFUNCTION("""COMPUTED_VALUE"""),"Филипов С.")</f>
        <v>Филипов С.</v>
      </c>
      <c r="C66" s="69">
        <f ca="1">IFERROR(__xludf.DUMMYFUNCTION("""COMPUTED_VALUE"""),3.26)</f>
        <v>3.26</v>
      </c>
      <c r="D66" s="25" t="str">
        <f ca="1">IFERROR(__xludf.DUMMYFUNCTION("""COMPUTED_VALUE"""),"МСР")</f>
        <v>МСР</v>
      </c>
      <c r="E66" s="25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25" t="str">
        <f ca="1">IFERROR(__xludf.DUMMYFUNCTION("""COMPUTED_VALUE"""),"Торлопов А.")</f>
        <v>Торлопов А.</v>
      </c>
      <c r="C67" s="69">
        <f ca="1">IFERROR(__xludf.DUMMYFUNCTION("""COMPUTED_VALUE"""),3.26)</f>
        <v>3.26</v>
      </c>
      <c r="D67" s="25" t="str">
        <f ca="1">IFERROR(__xludf.DUMMYFUNCTION("""COMPUTED_VALUE"""),"МСР")</f>
        <v>МСР</v>
      </c>
      <c r="E67" s="25" t="str">
        <f ca="1">IFERROR(__xludf.DUMMYFUNCTION("""COMPUTED_VALUE"""),"копия")</f>
        <v>копия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25" t="str">
        <f ca="1">IFERROR(__xludf.DUMMYFUNCTION("""COMPUTED_VALUE"""),"Торлопов А. В.")</f>
        <v>Торлопов А. В.</v>
      </c>
      <c r="C68" s="69">
        <f ca="1">IFERROR(__xludf.DUMMYFUNCTION("""COMPUTED_VALUE"""),3.26)</f>
        <v>3.26</v>
      </c>
      <c r="D68" s="25" t="str">
        <f ca="1">IFERROR(__xludf.DUMMYFUNCTION("""COMPUTED_VALUE"""),"МСР")</f>
        <v>МСР</v>
      </c>
      <c r="E68" s="25" t="str">
        <f ca="1">IFERROR(__xludf.DUMMYFUNCTION("""COMPUTED_VALUE"""),"оригинал")</f>
        <v>оригинал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25" t="str">
        <f ca="1">IFERROR(__xludf.DUMMYFUNCTION("""COMPUTED_VALUE"""),"Литвиненко И.")</f>
        <v>Литвиненко И.</v>
      </c>
      <c r="C69" s="69">
        <f ca="1">IFERROR(__xludf.DUMMYFUNCTION("""COMPUTED_VALUE"""),3.23)</f>
        <v>3.23</v>
      </c>
      <c r="D69" s="25" t="str">
        <f ca="1">IFERROR(__xludf.DUMMYFUNCTION("""COMPUTED_VALUE"""),"МСР")</f>
        <v>МСР</v>
      </c>
      <c r="E69" s="25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25" t="str">
        <f ca="1">IFERROR(__xludf.DUMMYFUNCTION("""COMPUTED_VALUE"""),"Зезегов С.")</f>
        <v>Зезегов С.</v>
      </c>
      <c r="C70" s="69">
        <f ca="1">IFERROR(__xludf.DUMMYFUNCTION("""COMPUTED_VALUE"""),3.22)</f>
        <v>3.22</v>
      </c>
      <c r="D70" s="25" t="str">
        <f ca="1">IFERROR(__xludf.DUMMYFUNCTION("""COMPUTED_VALUE"""),"МСР")</f>
        <v>МСР</v>
      </c>
      <c r="E70" s="25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25" t="str">
        <f ca="1">IFERROR(__xludf.DUMMYFUNCTION("""COMPUTED_VALUE"""),"Просужих Н.")</f>
        <v>Просужих Н.</v>
      </c>
      <c r="C71" s="69">
        <f ca="1">IFERROR(__xludf.DUMMYFUNCTION("""COMPUTED_VALUE"""),3.22)</f>
        <v>3.22</v>
      </c>
      <c r="D71" s="25" t="str">
        <f ca="1">IFERROR(__xludf.DUMMYFUNCTION("""COMPUTED_VALUE"""),"МСР")</f>
        <v>МСР</v>
      </c>
      <c r="E71" s="25" t="str">
        <f ca="1">IFERROR(__xludf.DUMMYFUNCTION("""COMPUTED_VALUE"""),"оригинал ")</f>
        <v xml:space="preserve">оригинал 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25" t="str">
        <f ca="1">IFERROR(__xludf.DUMMYFUNCTION("""COMPUTED_VALUE"""),"Новинский В.")</f>
        <v>Новинский В.</v>
      </c>
      <c r="C72" s="69">
        <f ca="1">IFERROR(__xludf.DUMMYFUNCTION("""COMPUTED_VALUE"""),3.22)</f>
        <v>3.22</v>
      </c>
      <c r="D72" s="25" t="str">
        <f ca="1">IFERROR(__xludf.DUMMYFUNCTION("""COMPUTED_VALUE"""),"МСР")</f>
        <v>МСР</v>
      </c>
      <c r="E72" s="25" t="str">
        <f ca="1">IFERROR(__xludf.DUMMYFUNCTION("""COMPUTED_VALUE"""),"копия")</f>
        <v>копия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25" t="str">
        <f ca="1">IFERROR(__xludf.DUMMYFUNCTION("""COMPUTED_VALUE"""),"Леденцов С.")</f>
        <v>Леденцов С.</v>
      </c>
      <c r="C73" s="69">
        <f ca="1">IFERROR(__xludf.DUMMYFUNCTION("""COMPUTED_VALUE"""),3.21)</f>
        <v>3.21</v>
      </c>
      <c r="D73" s="25" t="str">
        <f ca="1">IFERROR(__xludf.DUMMYFUNCTION("""COMPUTED_VALUE"""),"МСР")</f>
        <v>МСР</v>
      </c>
      <c r="E73" s="25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25" t="str">
        <f ca="1">IFERROR(__xludf.DUMMYFUNCTION("""COMPUTED_VALUE"""),"Стремоусов А.")</f>
        <v>Стремоусов А.</v>
      </c>
      <c r="C74" s="69">
        <f ca="1">IFERROR(__xludf.DUMMYFUNCTION("""COMPUTED_VALUE"""),3.21)</f>
        <v>3.21</v>
      </c>
      <c r="D74" s="25" t="str">
        <f ca="1">IFERROR(__xludf.DUMMYFUNCTION("""COMPUTED_VALUE"""),"МСР")</f>
        <v>МСР</v>
      </c>
      <c r="E74" s="25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25" t="str">
        <f ca="1">IFERROR(__xludf.DUMMYFUNCTION("""COMPUTED_VALUE"""),"Шалаев М.")</f>
        <v>Шалаев М.</v>
      </c>
      <c r="C75" s="69">
        <f ca="1">IFERROR(__xludf.DUMMYFUNCTION("""COMPUTED_VALUE"""),3.2)</f>
        <v>3.2</v>
      </c>
      <c r="D75" s="25" t="str">
        <f ca="1">IFERROR(__xludf.DUMMYFUNCTION("""COMPUTED_VALUE"""),"МСР")</f>
        <v>МСР</v>
      </c>
      <c r="E75" s="25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25" t="str">
        <f ca="1">IFERROR(__xludf.DUMMYFUNCTION("""COMPUTED_VALUE"""),"Смудников М.")</f>
        <v>Смудников М.</v>
      </c>
      <c r="C76" s="25">
        <f ca="1">IFERROR(__xludf.DUMMYFUNCTION("""COMPUTED_VALUE"""),3.2)</f>
        <v>3.2</v>
      </c>
      <c r="D76" s="25" t="str">
        <f ca="1">IFERROR(__xludf.DUMMYFUNCTION("""COMPUTED_VALUE"""),"МСР")</f>
        <v>МСР</v>
      </c>
      <c r="E76" s="25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25" t="str">
        <f ca="1">IFERROR(__xludf.DUMMYFUNCTION("""COMPUTED_VALUE"""),"Калинин В.")</f>
        <v>Калинин В.</v>
      </c>
      <c r="C77" s="69">
        <f ca="1">IFERROR(__xludf.DUMMYFUNCTION("""COMPUTED_VALUE"""),3.2)</f>
        <v>3.2</v>
      </c>
      <c r="D77" s="25" t="str">
        <f ca="1">IFERROR(__xludf.DUMMYFUNCTION("""COMPUTED_VALUE"""),"МСР")</f>
        <v>МСР</v>
      </c>
      <c r="E77" s="25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72</v>
      </c>
      <c r="B78" s="25" t="str">
        <f ca="1">IFERROR(__xludf.DUMMYFUNCTION("""COMPUTED_VALUE"""),"Булышев З.")</f>
        <v>Булышев З.</v>
      </c>
      <c r="C78" s="69">
        <f ca="1">IFERROR(__xludf.DUMMYFUNCTION("""COMPUTED_VALUE"""),3.17)</f>
        <v>3.17</v>
      </c>
      <c r="D78" s="25" t="str">
        <f ca="1">IFERROR(__xludf.DUMMYFUNCTION("""COMPUTED_VALUE"""),"МСР")</f>
        <v>МСР</v>
      </c>
      <c r="E78" s="25" t="str">
        <f ca="1">IFERROR(__xludf.DUMMYFUNCTION("""COMPUTED_VALUE"""),"копия")</f>
        <v>копия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73</v>
      </c>
      <c r="B79" s="25" t="str">
        <f ca="1">IFERROR(__xludf.DUMMYFUNCTION("""COMPUTED_VALUE"""),"Сметанин А.")</f>
        <v>Сметанин А.</v>
      </c>
      <c r="C79" s="69">
        <f ca="1">IFERROR(__xludf.DUMMYFUNCTION("""COMPUTED_VALUE"""),3.16)</f>
        <v>3.16</v>
      </c>
      <c r="D79" s="25" t="str">
        <f ca="1">IFERROR(__xludf.DUMMYFUNCTION("""COMPUTED_VALUE"""),"МСР")</f>
        <v>МСР</v>
      </c>
      <c r="E79" s="25" t="str">
        <f ca="1">IFERROR(__xludf.DUMMYFUNCTION("""COMPUTED_VALUE"""),"копия")</f>
        <v>копия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74</v>
      </c>
      <c r="B80" s="25" t="str">
        <f ca="1">IFERROR(__xludf.DUMMYFUNCTION("""COMPUTED_VALUE"""),"Карманов Д.")</f>
        <v>Карманов Д.</v>
      </c>
      <c r="C80" s="69">
        <f ca="1">IFERROR(__xludf.DUMMYFUNCTION("""COMPUTED_VALUE"""),3.16)</f>
        <v>3.16</v>
      </c>
      <c r="D80" s="25" t="str">
        <f ca="1">IFERROR(__xludf.DUMMYFUNCTION("""COMPUTED_VALUE"""),"МСР")</f>
        <v>МСР</v>
      </c>
      <c r="E80" s="25" t="str">
        <f ca="1">IFERROR(__xludf.DUMMYFUNCTION("""COMPUTED_VALUE"""),"оригинал ")</f>
        <v xml:space="preserve">оригинал 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75</v>
      </c>
      <c r="B81" s="25" t="str">
        <f ca="1">IFERROR(__xludf.DUMMYFUNCTION("""COMPUTED_VALUE"""),"Игнатова М.")</f>
        <v>Игнатова М.</v>
      </c>
      <c r="C81" s="69">
        <f ca="1">IFERROR(__xludf.DUMMYFUNCTION("""COMPUTED_VALUE"""),3.16)</f>
        <v>3.16</v>
      </c>
      <c r="D81" s="25" t="str">
        <f ca="1">IFERROR(__xludf.DUMMYFUNCTION("""COMPUTED_VALUE"""),"МСР")</f>
        <v>МСР</v>
      </c>
      <c r="E81" s="25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76</v>
      </c>
      <c r="B82" s="25" t="str">
        <f ca="1">IFERROR(__xludf.DUMMYFUNCTION("""COMPUTED_VALUE"""),"Игнатов В. В.")</f>
        <v>Игнатов В. В.</v>
      </c>
      <c r="C82" s="69">
        <f ca="1">IFERROR(__xludf.DUMMYFUNCTION("""COMPUTED_VALUE"""),3.16)</f>
        <v>3.16</v>
      </c>
      <c r="D82" s="25" t="str">
        <f ca="1">IFERROR(__xludf.DUMMYFUNCTION("""COMPUTED_VALUE"""),"МСР")</f>
        <v>МСР</v>
      </c>
      <c r="E82" s="25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77</v>
      </c>
      <c r="B83" s="25" t="str">
        <f ca="1">IFERROR(__xludf.DUMMYFUNCTION("""COMPUTED_VALUE"""),"Торлопов Д.")</f>
        <v>Торлопов Д.</v>
      </c>
      <c r="C83" s="69">
        <f ca="1">IFERROR(__xludf.DUMMYFUNCTION("""COMPUTED_VALUE"""),3.15)</f>
        <v>3.15</v>
      </c>
      <c r="D83" s="25" t="str">
        <f ca="1">IFERROR(__xludf.DUMMYFUNCTION("""COMPUTED_VALUE"""),"МСР")</f>
        <v>МСР</v>
      </c>
      <c r="E83" s="25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78</v>
      </c>
      <c r="B84" s="25" t="str">
        <f ca="1">IFERROR(__xludf.DUMMYFUNCTION("""COMPUTED_VALUE"""),"Шудрич Д.")</f>
        <v>Шудрич Д.</v>
      </c>
      <c r="C84" s="69">
        <f ca="1">IFERROR(__xludf.DUMMYFUNCTION("""COMPUTED_VALUE"""),3.15)</f>
        <v>3.15</v>
      </c>
      <c r="D84" s="25" t="str">
        <f ca="1">IFERROR(__xludf.DUMMYFUNCTION("""COMPUTED_VALUE"""),"МСР")</f>
        <v>МСР</v>
      </c>
      <c r="E84" s="25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25" t="str">
        <f ca="1">IFERROR(__xludf.DUMMYFUNCTION("""COMPUTED_VALUE"""),"Каштаев В.")</f>
        <v>Каштаев В.</v>
      </c>
      <c r="C85" s="69">
        <f ca="1">IFERROR(__xludf.DUMMYFUNCTION("""COMPUTED_VALUE"""),3.11)</f>
        <v>3.11</v>
      </c>
      <c r="D85" s="25" t="str">
        <f ca="1">IFERROR(__xludf.DUMMYFUNCTION("""COMPUTED_VALUE"""),"МСР")</f>
        <v>МСР</v>
      </c>
      <c r="E85" s="25" t="str">
        <f ca="1">IFERROR(__xludf.DUMMYFUNCTION("""COMPUTED_VALUE"""),"оригинал")</f>
        <v>оригинал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25" t="str">
        <f ca="1">IFERROR(__xludf.DUMMYFUNCTION("""COMPUTED_VALUE"""),"Шипицын И. В.")</f>
        <v>Шипицын И. В.</v>
      </c>
      <c r="C86" s="69">
        <f ca="1">IFERROR(__xludf.DUMMYFUNCTION("""COMPUTED_VALUE"""),3)</f>
        <v>3</v>
      </c>
      <c r="D86" s="25" t="str">
        <f ca="1">IFERROR(__xludf.DUMMYFUNCTION("""COMPUTED_VALUE"""),"МСР")</f>
        <v>МСР</v>
      </c>
      <c r="E86" s="25" t="str">
        <f ca="1">IFERROR(__xludf.DUMMYFUNCTION("""COMPUTED_VALUE"""),"оригинал")</f>
        <v>оригинал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6" ht="13.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6" ht="13.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6" ht="13.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6" ht="13.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6" ht="13.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6" ht="13.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6" ht="13.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6" ht="13.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6" ht="13.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E5"/>
    <mergeCell ref="A1:C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/>
  </sheetViews>
  <sheetFormatPr defaultColWidth="14.42578125" defaultRowHeight="15" customHeight="1"/>
  <cols>
    <col min="1" max="1" width="8.5703125" customWidth="1"/>
    <col min="2" max="2" width="25.28515625" customWidth="1"/>
    <col min="3" max="3" width="19.140625" customWidth="1"/>
    <col min="4" max="4" width="12.42578125" hidden="1" customWidth="1"/>
    <col min="5" max="5" width="16.5703125" customWidth="1"/>
    <col min="6" max="6" width="7.28515625" customWidth="1"/>
    <col min="7" max="15" width="8.85546875" customWidth="1"/>
    <col min="16" max="26" width="8.7109375" customWidth="1"/>
  </cols>
  <sheetData>
    <row r="1" spans="1:26">
      <c r="A1" s="79"/>
      <c r="B1" s="72"/>
      <c r="C1" s="72"/>
      <c r="D1" s="72"/>
      <c r="E1" s="72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5" t="s">
        <v>3</v>
      </c>
      <c r="B2" s="72"/>
      <c r="C2" s="76">
        <f ca="1">IFERROR(__xludf.DUMMYFUNCTION("INDEX( FILTER( Inbox_Data!A:A , NOT( ISBLANK( Inbox_Data!A:A ) ) ) , ROWS( FILTER( Inbox_Data!A:A , NOT( ISBLANK( Inbox_Data!A:A ) ) ) ) )"),46255)</f>
        <v>46255</v>
      </c>
      <c r="D2" s="72"/>
      <c r="E2" s="72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6" customHeight="1">
      <c r="A3" s="77" t="s">
        <v>786</v>
      </c>
      <c r="B3" s="72"/>
      <c r="C3" s="72"/>
      <c r="D3" s="72"/>
      <c r="E3" s="72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78" t="s">
        <v>787</v>
      </c>
      <c r="B4" s="72"/>
      <c r="C4" s="72"/>
      <c r="D4" s="72"/>
      <c r="E4" s="72"/>
      <c r="H4" s="5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>
      <c r="A5" s="73"/>
      <c r="B5" s="72"/>
      <c r="C5" s="72"/>
      <c r="D5" s="5"/>
      <c r="H5" s="5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0">
      <c r="A6" s="16" t="s">
        <v>788</v>
      </c>
      <c r="B6" s="18" t="s">
        <v>789</v>
      </c>
      <c r="C6" s="16" t="s">
        <v>790</v>
      </c>
      <c r="D6" s="5"/>
      <c r="E6" s="16" t="s">
        <v>791</v>
      </c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>
      <c r="A7" s="19">
        <v>1</v>
      </c>
      <c r="B7" s="20" t="str">
        <f ca="1">IFERROR(__xludf.DUMMYFUNCTION("FILTER(Inbox_Data!F2:I1004,Inbox_Data!H2:H1004=""ПК"")"),"Старцева Е. ")</f>
        <v xml:space="preserve">Старцева Е. </v>
      </c>
      <c r="C7" s="20">
        <f ca="1">IFERROR(__xludf.DUMMYFUNCTION("""COMPUTED_VALUE"""),4.72)</f>
        <v>4.72</v>
      </c>
      <c r="D7" s="20" t="str">
        <f ca="1">IFERROR(__xludf.DUMMYFUNCTION("""COMPUTED_VALUE"""),"ПК")</f>
        <v>ПК</v>
      </c>
      <c r="E7" s="20" t="str">
        <f ca="1">IFERROR(__xludf.DUMMYFUNCTION("""COMPUTED_VALUE"""),"копия")</f>
        <v>копия</v>
      </c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>
      <c r="A8" s="19">
        <v>2</v>
      </c>
      <c r="B8" s="20" t="str">
        <f ca="1">IFERROR(__xludf.DUMMYFUNCTION("""COMPUTED_VALUE"""),"Удоратина Л.")</f>
        <v>Удоратина Л.</v>
      </c>
      <c r="C8" s="23">
        <f ca="1">IFERROR(__xludf.DUMMYFUNCTION("""COMPUTED_VALUE"""),4.5)</f>
        <v>4.5</v>
      </c>
      <c r="D8" s="20" t="str">
        <f ca="1">IFERROR(__xludf.DUMMYFUNCTION("""COMPUTED_VALUE"""),"ПК")</f>
        <v>ПК</v>
      </c>
      <c r="E8" s="20" t="str">
        <f ca="1">IFERROR(__xludf.DUMMYFUNCTION("""COMPUTED_VALUE"""),"оригинал")</f>
        <v>оригинал</v>
      </c>
      <c r="H8" s="5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>
      <c r="A9" s="19">
        <v>3</v>
      </c>
      <c r="B9" s="20" t="str">
        <f ca="1">IFERROR(__xludf.DUMMYFUNCTION("""COMPUTED_VALUE"""),"Николаева В.")</f>
        <v>Николаева В.</v>
      </c>
      <c r="C9" s="20">
        <f ca="1">IFERROR(__xludf.DUMMYFUNCTION("""COMPUTED_VALUE"""),4.36)</f>
        <v>4.3600000000000003</v>
      </c>
      <c r="D9" s="20" t="str">
        <f ca="1">IFERROR(__xludf.DUMMYFUNCTION("""COMPUTED_VALUE"""),"ПК")</f>
        <v>ПК</v>
      </c>
      <c r="E9" s="20" t="str">
        <f ca="1">IFERROR(__xludf.DUMMYFUNCTION("""COMPUTED_VALUE"""),"копия")</f>
        <v>копия</v>
      </c>
      <c r="H9" s="5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>
      <c r="A10" s="19">
        <v>4</v>
      </c>
      <c r="B10" s="20" t="str">
        <f ca="1">IFERROR(__xludf.DUMMYFUNCTION("""COMPUTED_VALUE"""),"Горюнова В.")</f>
        <v>Горюнова В.</v>
      </c>
      <c r="C10" s="20">
        <f ca="1">IFERROR(__xludf.DUMMYFUNCTION("""COMPUTED_VALUE"""),4.31)</f>
        <v>4.3099999999999996</v>
      </c>
      <c r="D10" s="20" t="str">
        <f ca="1">IFERROR(__xludf.DUMMYFUNCTION("""COMPUTED_VALUE"""),"ПК")</f>
        <v>ПК</v>
      </c>
      <c r="E10" s="20" t="str">
        <f ca="1">IFERROR(__xludf.DUMMYFUNCTION("""COMPUTED_VALUE"""),"оригинал")</f>
        <v>оригинал</v>
      </c>
      <c r="H10" s="5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>
      <c r="A11" s="19">
        <v>5</v>
      </c>
      <c r="B11" s="20" t="str">
        <f ca="1">IFERROR(__xludf.DUMMYFUNCTION("""COMPUTED_VALUE"""),"Рочева К. ")</f>
        <v xml:space="preserve">Рочева К. </v>
      </c>
      <c r="C11" s="20">
        <f ca="1">IFERROR(__xludf.DUMMYFUNCTION("""COMPUTED_VALUE"""),4.31)</f>
        <v>4.3099999999999996</v>
      </c>
      <c r="D11" s="20" t="str">
        <f ca="1">IFERROR(__xludf.DUMMYFUNCTION("""COMPUTED_VALUE"""),"ПК")</f>
        <v>ПК</v>
      </c>
      <c r="E11" s="20" t="str">
        <f ca="1">IFERROR(__xludf.DUMMYFUNCTION("""COMPUTED_VALUE"""),"копия")</f>
        <v>копия</v>
      </c>
      <c r="H11" s="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.5" customHeight="1">
      <c r="A12" s="19">
        <v>6</v>
      </c>
      <c r="B12" s="25" t="str">
        <f ca="1">IFERROR(__xludf.DUMMYFUNCTION("""COMPUTED_VALUE"""),"Боброва К.")</f>
        <v>Боброва К.</v>
      </c>
      <c r="C12" s="20">
        <f ca="1">IFERROR(__xludf.DUMMYFUNCTION("""COMPUTED_VALUE"""),4.27)</f>
        <v>4.2699999999999996</v>
      </c>
      <c r="D12" s="20" t="str">
        <f ca="1">IFERROR(__xludf.DUMMYFUNCTION("""COMPUTED_VALUE"""),"ПК")</f>
        <v>ПК</v>
      </c>
      <c r="E12" s="20" t="str">
        <f ca="1">IFERROR(__xludf.DUMMYFUNCTION("""COMPUTED_VALUE"""),"копия")</f>
        <v>копия</v>
      </c>
      <c r="H12" s="5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.5" customHeight="1">
      <c r="A13" s="19">
        <v>7</v>
      </c>
      <c r="B13" s="20" t="str">
        <f ca="1">IFERROR(__xludf.DUMMYFUNCTION("""COMPUTED_VALUE"""),"Боброва Д. ")</f>
        <v xml:space="preserve">Боброва Д. </v>
      </c>
      <c r="C13" s="20">
        <f ca="1">IFERROR(__xludf.DUMMYFUNCTION("""COMPUTED_VALUE"""),4.26)</f>
        <v>4.26</v>
      </c>
      <c r="D13" s="20" t="str">
        <f ca="1">IFERROR(__xludf.DUMMYFUNCTION("""COMPUTED_VALUE"""),"ПК")</f>
        <v>ПК</v>
      </c>
      <c r="E13" s="20" t="str">
        <f ca="1">IFERROR(__xludf.DUMMYFUNCTION("""COMPUTED_VALUE"""),"копия")</f>
        <v>копия</v>
      </c>
      <c r="H13" s="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>
      <c r="A14" s="19">
        <v>8</v>
      </c>
      <c r="B14" s="20" t="str">
        <f ca="1">IFERROR(__xludf.DUMMYFUNCTION("""COMPUTED_VALUE"""),"Фазилова В.")</f>
        <v>Фазилова В.</v>
      </c>
      <c r="C14" s="20">
        <f ca="1">IFERROR(__xludf.DUMMYFUNCTION("""COMPUTED_VALUE"""),4.26)</f>
        <v>4.26</v>
      </c>
      <c r="D14" s="20" t="str">
        <f ca="1">IFERROR(__xludf.DUMMYFUNCTION("""COMPUTED_VALUE"""),"ПК")</f>
        <v>ПК</v>
      </c>
      <c r="E14" s="20" t="str">
        <f ca="1">IFERROR(__xludf.DUMMYFUNCTION("""COMPUTED_VALUE"""),"копия")</f>
        <v>копия</v>
      </c>
      <c r="H14" s="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.5" customHeight="1">
      <c r="A15" s="19">
        <v>9</v>
      </c>
      <c r="B15" s="20" t="str">
        <f ca="1">IFERROR(__xludf.DUMMYFUNCTION("""COMPUTED_VALUE"""),"Соколова Э.")</f>
        <v>Соколова Э.</v>
      </c>
      <c r="C15" s="20">
        <f ca="1">IFERROR(__xludf.DUMMYFUNCTION("""COMPUTED_VALUE"""),4.15)</f>
        <v>4.1500000000000004</v>
      </c>
      <c r="D15" s="20" t="str">
        <f ca="1">IFERROR(__xludf.DUMMYFUNCTION("""COMPUTED_VALUE"""),"ПК")</f>
        <v>ПК</v>
      </c>
      <c r="E15" s="20" t="str">
        <f ca="1">IFERROR(__xludf.DUMMYFUNCTION("""COMPUTED_VALUE"""),"копия")</f>
        <v>копия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>
      <c r="A16" s="19">
        <v>10</v>
      </c>
      <c r="B16" s="20" t="str">
        <f ca="1">IFERROR(__xludf.DUMMYFUNCTION("""COMPUTED_VALUE"""),"Кетова М")</f>
        <v>Кетова М</v>
      </c>
      <c r="C16" s="23">
        <f ca="1">IFERROR(__xludf.DUMMYFUNCTION("""COMPUTED_VALUE"""),4.15)</f>
        <v>4.1500000000000004</v>
      </c>
      <c r="D16" s="20" t="str">
        <f ca="1">IFERROR(__xludf.DUMMYFUNCTION("""COMPUTED_VALUE"""),"ПК")</f>
        <v>ПК</v>
      </c>
      <c r="E16" s="20" t="str">
        <f ca="1">IFERROR(__xludf.DUMMYFUNCTION("""COMPUTED_VALUE"""),"копия")</f>
        <v>копия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>
      <c r="A17" s="19">
        <v>11</v>
      </c>
      <c r="B17" s="20" t="str">
        <f ca="1">IFERROR(__xludf.DUMMYFUNCTION("""COMPUTED_VALUE"""),"Голенкова А. ")</f>
        <v xml:space="preserve">Голенкова А. </v>
      </c>
      <c r="C17" s="20">
        <f ca="1">IFERROR(__xludf.DUMMYFUNCTION("""COMPUTED_VALUE"""),4.15)</f>
        <v>4.1500000000000004</v>
      </c>
      <c r="D17" s="20" t="str">
        <f ca="1">IFERROR(__xludf.DUMMYFUNCTION("""COMPUTED_VALUE"""),"ПК")</f>
        <v>ПК</v>
      </c>
      <c r="E17" s="20" t="str">
        <f ca="1">IFERROR(__xludf.DUMMYFUNCTION("""COMPUTED_VALUE"""),"копия")</f>
        <v>копия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.5" customHeight="1">
      <c r="A18" s="19">
        <v>12</v>
      </c>
      <c r="B18" s="20" t="str">
        <f ca="1">IFERROR(__xludf.DUMMYFUNCTION("""COMPUTED_VALUE"""),"Габов А. ")</f>
        <v xml:space="preserve">Габов А. </v>
      </c>
      <c r="C18" s="23">
        <f ca="1">IFERROR(__xludf.DUMMYFUNCTION("""COMPUTED_VALUE"""),4.12)</f>
        <v>4.12</v>
      </c>
      <c r="D18" s="20" t="str">
        <f ca="1">IFERROR(__xludf.DUMMYFUNCTION("""COMPUTED_VALUE"""),"ПК")</f>
        <v>ПК</v>
      </c>
      <c r="E18" s="20" t="str">
        <f ca="1">IFERROR(__xludf.DUMMYFUNCTION("""COMPUTED_VALUE"""),"копия")</f>
        <v>копия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.5" customHeight="1">
      <c r="A19" s="19">
        <v>13</v>
      </c>
      <c r="B19" s="20" t="str">
        <f ca="1">IFERROR(__xludf.DUMMYFUNCTION("""COMPUTED_VALUE"""),"Избюров К")</f>
        <v>Избюров К</v>
      </c>
      <c r="C19" s="23">
        <f ca="1">IFERROR(__xludf.DUMMYFUNCTION("""COMPUTED_VALUE"""),4.11)</f>
        <v>4.1100000000000003</v>
      </c>
      <c r="D19" s="20" t="str">
        <f ca="1">IFERROR(__xludf.DUMMYFUNCTION("""COMPUTED_VALUE"""),"ПК")</f>
        <v>ПК</v>
      </c>
      <c r="E19" s="20" t="str">
        <f ca="1">IFERROR(__xludf.DUMMYFUNCTION("""COMPUTED_VALUE"""),"копия")</f>
        <v>копия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>
      <c r="A20" s="19">
        <v>14</v>
      </c>
      <c r="B20" s="20" t="str">
        <f ca="1">IFERROR(__xludf.DUMMYFUNCTION("""COMPUTED_VALUE"""),"Кукольщикова А.")</f>
        <v>Кукольщикова А.</v>
      </c>
      <c r="C20" s="23">
        <f ca="1">IFERROR(__xludf.DUMMYFUNCTION("""COMPUTED_VALUE"""),4.11)</f>
        <v>4.1100000000000003</v>
      </c>
      <c r="D20" s="20" t="str">
        <f ca="1">IFERROR(__xludf.DUMMYFUNCTION("""COMPUTED_VALUE"""),"ПК")</f>
        <v>ПК</v>
      </c>
      <c r="E20" s="20" t="str">
        <f ca="1">IFERROR(__xludf.DUMMYFUNCTION("""COMPUTED_VALUE"""),"копия")</f>
        <v>копия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.5" customHeight="1">
      <c r="A21" s="19">
        <v>15</v>
      </c>
      <c r="B21" s="20" t="str">
        <f ca="1">IFERROR(__xludf.DUMMYFUNCTION("""COMPUTED_VALUE"""),"Забоева В. П.")</f>
        <v>Забоева В. П.</v>
      </c>
      <c r="C21" s="20">
        <f ca="1">IFERROR(__xludf.DUMMYFUNCTION("""COMPUTED_VALUE"""),4.11)</f>
        <v>4.1100000000000003</v>
      </c>
      <c r="D21" s="20" t="str">
        <f ca="1">IFERROR(__xludf.DUMMYFUNCTION("""COMPUTED_VALUE"""),"ПК")</f>
        <v>ПК</v>
      </c>
      <c r="E21" s="20" t="str">
        <f ca="1">IFERROR(__xludf.DUMMYFUNCTION("""COMPUTED_VALUE"""),"оригинал")</f>
        <v>оригинал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.5" customHeight="1">
      <c r="A22" s="19">
        <v>16</v>
      </c>
      <c r="B22" s="20" t="str">
        <f ca="1">IFERROR(__xludf.DUMMYFUNCTION("""COMPUTED_VALUE"""),"Ципиреева М.")</f>
        <v>Ципиреева М.</v>
      </c>
      <c r="C22" s="20">
        <f ca="1">IFERROR(__xludf.DUMMYFUNCTION("""COMPUTED_VALUE"""),4.1)</f>
        <v>4.0999999999999996</v>
      </c>
      <c r="D22" s="20" t="str">
        <f ca="1">IFERROR(__xludf.DUMMYFUNCTION("""COMPUTED_VALUE"""),"ПК")</f>
        <v>ПК</v>
      </c>
      <c r="E22" s="20" t="str">
        <f ca="1">IFERROR(__xludf.DUMMYFUNCTION("""COMPUTED_VALUE"""),"копия")</f>
        <v>копия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>
      <c r="A23" s="19">
        <v>17</v>
      </c>
      <c r="B23" s="20" t="str">
        <f ca="1">IFERROR(__xludf.DUMMYFUNCTION("""COMPUTED_VALUE"""),"Колипова Л.  ")</f>
        <v xml:space="preserve">Колипова Л.  </v>
      </c>
      <c r="C23" s="20">
        <f ca="1">IFERROR(__xludf.DUMMYFUNCTION("""COMPUTED_VALUE"""),4.05)</f>
        <v>4.05</v>
      </c>
      <c r="D23" s="20" t="str">
        <f ca="1">IFERROR(__xludf.DUMMYFUNCTION("""COMPUTED_VALUE"""),"ПК")</f>
        <v>ПК</v>
      </c>
      <c r="E23" s="20" t="str">
        <f ca="1">IFERROR(__xludf.DUMMYFUNCTION("""COMPUTED_VALUE"""),"копия")</f>
        <v>копия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.5" customHeight="1">
      <c r="A24" s="19">
        <v>18</v>
      </c>
      <c r="B24" s="20" t="str">
        <f ca="1">IFERROR(__xludf.DUMMYFUNCTION("""COMPUTED_VALUE"""),"Терентьев А.А.")</f>
        <v>Терентьев А.А.</v>
      </c>
      <c r="C24" s="22">
        <f ca="1">IFERROR(__xludf.DUMMYFUNCTION("""COMPUTED_VALUE"""),4.05)</f>
        <v>4.05</v>
      </c>
      <c r="D24" s="20" t="str">
        <f ca="1">IFERROR(__xludf.DUMMYFUNCTION("""COMPUTED_VALUE"""),"ПК")</f>
        <v>ПК</v>
      </c>
      <c r="E24" s="20" t="str">
        <f ca="1">IFERROR(__xludf.DUMMYFUNCTION("""COMPUTED_VALUE"""),"копия")</f>
        <v>копия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.5" customHeight="1">
      <c r="A25" s="19">
        <v>19</v>
      </c>
      <c r="B25" s="19" t="str">
        <f ca="1">IFERROR(__xludf.DUMMYFUNCTION("""COMPUTED_VALUE"""),"Тереньтев А.А.")</f>
        <v>Тереньтев А.А.</v>
      </c>
      <c r="C25" s="20">
        <f ca="1">IFERROR(__xludf.DUMMYFUNCTION("""COMPUTED_VALUE"""),4.05)</f>
        <v>4.05</v>
      </c>
      <c r="D25" s="20" t="str">
        <f ca="1">IFERROR(__xludf.DUMMYFUNCTION("""COMPUTED_VALUE"""),"ПК")</f>
        <v>ПК</v>
      </c>
      <c r="E25" s="20" t="str">
        <f ca="1">IFERROR(__xludf.DUMMYFUNCTION("""COMPUTED_VALUE"""),"оригинал")</f>
        <v>оригинал</v>
      </c>
      <c r="H25" s="2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.5" customHeight="1">
      <c r="A26" s="19">
        <v>20</v>
      </c>
      <c r="B26" s="19" t="str">
        <f ca="1">IFERROR(__xludf.DUMMYFUNCTION("""COMPUTED_VALUE"""),"Юдина А.")</f>
        <v>Юдина А.</v>
      </c>
      <c r="C26" s="20">
        <f ca="1">IFERROR(__xludf.DUMMYFUNCTION("""COMPUTED_VALUE"""),4)</f>
        <v>4</v>
      </c>
      <c r="D26" s="20" t="str">
        <f ca="1">IFERROR(__xludf.DUMMYFUNCTION("""COMPUTED_VALUE"""),"ПК")</f>
        <v>ПК</v>
      </c>
      <c r="E26" s="20" t="str">
        <f ca="1">IFERROR(__xludf.DUMMYFUNCTION("""COMPUTED_VALUE"""),"копия")</f>
        <v>копия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.5" customHeight="1">
      <c r="A27" s="19">
        <v>21</v>
      </c>
      <c r="B27" s="19" t="str">
        <f ca="1">IFERROR(__xludf.DUMMYFUNCTION("""COMPUTED_VALUE"""),"Пеленвин А.")</f>
        <v>Пеленвин А.</v>
      </c>
      <c r="C27" s="20">
        <f ca="1">IFERROR(__xludf.DUMMYFUNCTION("""COMPUTED_VALUE"""),4)</f>
        <v>4</v>
      </c>
      <c r="D27" s="20" t="str">
        <f ca="1">IFERROR(__xludf.DUMMYFUNCTION("""COMPUTED_VALUE"""),"ПК")</f>
        <v>ПК</v>
      </c>
      <c r="E27" s="20" t="str">
        <f ca="1">IFERROR(__xludf.DUMMYFUNCTION("""COMPUTED_VALUE"""),"копия")</f>
        <v>копия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>
      <c r="A28" s="19">
        <v>22</v>
      </c>
      <c r="B28" s="19" t="str">
        <f ca="1">IFERROR(__xludf.DUMMYFUNCTION("""COMPUTED_VALUE"""),"Ледкова Д.")</f>
        <v>Ледкова Д.</v>
      </c>
      <c r="C28" s="23">
        <f ca="1">IFERROR(__xludf.DUMMYFUNCTION("""COMPUTED_VALUE"""),4)</f>
        <v>4</v>
      </c>
      <c r="D28" s="20" t="str">
        <f ca="1">IFERROR(__xludf.DUMMYFUNCTION("""COMPUTED_VALUE"""),"ПК")</f>
        <v>ПК</v>
      </c>
      <c r="E28" s="20" t="str">
        <f ca="1">IFERROR(__xludf.DUMMYFUNCTION("""COMPUTED_VALUE"""),"копия")</f>
        <v>копия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>
      <c r="A29" s="19">
        <v>23</v>
      </c>
      <c r="B29" s="19" t="str">
        <f ca="1">IFERROR(__xludf.DUMMYFUNCTION("""COMPUTED_VALUE"""),"Размыслова В. В.")</f>
        <v>Размыслова В. В.</v>
      </c>
      <c r="C29" s="22">
        <f ca="1">IFERROR(__xludf.DUMMYFUNCTION("""COMPUTED_VALUE"""),4)</f>
        <v>4</v>
      </c>
      <c r="D29" s="20" t="str">
        <f ca="1">IFERROR(__xludf.DUMMYFUNCTION("""COMPUTED_VALUE"""),"ПК")</f>
        <v>ПК</v>
      </c>
      <c r="E29" s="20" t="str">
        <f ca="1">IFERROR(__xludf.DUMMYFUNCTION("""COMPUTED_VALUE"""),"оригинал")</f>
        <v>оригинал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>
      <c r="A30" s="19">
        <v>24</v>
      </c>
      <c r="B30" s="19" t="str">
        <f ca="1">IFERROR(__xludf.DUMMYFUNCTION("""COMPUTED_VALUE"""),"Езимова Л.")</f>
        <v>Езимова Л.</v>
      </c>
      <c r="C30" s="20">
        <f ca="1">IFERROR(__xludf.DUMMYFUNCTION("""COMPUTED_VALUE"""),3.95)</f>
        <v>3.95</v>
      </c>
      <c r="D30" s="20" t="str">
        <f ca="1">IFERROR(__xludf.DUMMYFUNCTION("""COMPUTED_VALUE"""),"ПК")</f>
        <v>ПК</v>
      </c>
      <c r="E30" s="20" t="str">
        <f ca="1">IFERROR(__xludf.DUMMYFUNCTION("""COMPUTED_VALUE"""),"оригинал")</f>
        <v>оригинал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.5" customHeight="1">
      <c r="A31" s="19">
        <v>25</v>
      </c>
      <c r="B31" s="19" t="str">
        <f ca="1">IFERROR(__xludf.DUMMYFUNCTION("""COMPUTED_VALUE"""),"Сажин Д.")</f>
        <v>Сажин Д.</v>
      </c>
      <c r="C31" s="20">
        <f ca="1">IFERROR(__xludf.DUMMYFUNCTION("""COMPUTED_VALUE"""),3.94)</f>
        <v>3.94</v>
      </c>
      <c r="D31" s="20" t="str">
        <f ca="1">IFERROR(__xludf.DUMMYFUNCTION("""COMPUTED_VALUE"""),"ПК")</f>
        <v>ПК</v>
      </c>
      <c r="E31" s="20" t="str">
        <f ca="1">IFERROR(__xludf.DUMMYFUNCTION("""COMPUTED_VALUE"""),"копия")</f>
        <v>копия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.5" customHeight="1">
      <c r="A32" s="19">
        <v>26</v>
      </c>
      <c r="B32" s="19" t="str">
        <f ca="1">IFERROR(__xludf.DUMMYFUNCTION("""COMPUTED_VALUE"""),"Комарова Н.")</f>
        <v>Комарова Н.</v>
      </c>
      <c r="C32" s="23">
        <f ca="1">IFERROR(__xludf.DUMMYFUNCTION("""COMPUTED_VALUE"""),3.94)</f>
        <v>3.94</v>
      </c>
      <c r="D32" s="20" t="str">
        <f ca="1">IFERROR(__xludf.DUMMYFUNCTION("""COMPUTED_VALUE"""),"ПК")</f>
        <v>ПК</v>
      </c>
      <c r="E32" s="20" t="str">
        <f ca="1">IFERROR(__xludf.DUMMYFUNCTION("""COMPUTED_VALUE"""),"копия")</f>
        <v>копия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>
      <c r="A33" s="19">
        <v>27</v>
      </c>
      <c r="B33" s="19" t="str">
        <f ca="1">IFERROR(__xludf.DUMMYFUNCTION("""COMPUTED_VALUE"""),"Торлопова А.")</f>
        <v>Торлопова А.</v>
      </c>
      <c r="C33" s="20">
        <f ca="1">IFERROR(__xludf.DUMMYFUNCTION("""COMPUTED_VALUE"""),3.94)</f>
        <v>3.94</v>
      </c>
      <c r="D33" s="20" t="str">
        <f ca="1">IFERROR(__xludf.DUMMYFUNCTION("""COMPUTED_VALUE"""),"ПК")</f>
        <v>ПК</v>
      </c>
      <c r="E33" s="20" t="str">
        <f ca="1">IFERROR(__xludf.DUMMYFUNCTION("""COMPUTED_VALUE"""),"копия")</f>
        <v>копия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>
      <c r="A34" s="19">
        <v>28</v>
      </c>
      <c r="B34" s="19" t="str">
        <f ca="1">IFERROR(__xludf.DUMMYFUNCTION("""COMPUTED_VALUE"""),"Шахова С.")</f>
        <v>Шахова С.</v>
      </c>
      <c r="C34" s="20">
        <f ca="1">IFERROR(__xludf.DUMMYFUNCTION("""COMPUTED_VALUE"""),3.9)</f>
        <v>3.9</v>
      </c>
      <c r="D34" s="20" t="str">
        <f ca="1">IFERROR(__xludf.DUMMYFUNCTION("""COMPUTED_VALUE"""),"ПК")</f>
        <v>ПК</v>
      </c>
      <c r="E34" s="20" t="str">
        <f ca="1">IFERROR(__xludf.DUMMYFUNCTION("""COMPUTED_VALUE"""),"копия")</f>
        <v>копия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>
      <c r="A35" s="19">
        <v>29</v>
      </c>
      <c r="B35" s="19" t="str">
        <f ca="1">IFERROR(__xludf.DUMMYFUNCTION("""COMPUTED_VALUE"""),"Жадяева У")</f>
        <v>Жадяева У</v>
      </c>
      <c r="C35" s="20">
        <f ca="1">IFERROR(__xludf.DUMMYFUNCTION("""COMPUTED_VALUE"""),3.9)</f>
        <v>3.9</v>
      </c>
      <c r="D35" s="20" t="str">
        <f ca="1">IFERROR(__xludf.DUMMYFUNCTION("""COMPUTED_VALUE"""),"ПК")</f>
        <v>ПК</v>
      </c>
      <c r="E35" s="20" t="str">
        <f ca="1">IFERROR(__xludf.DUMMYFUNCTION("""COMPUTED_VALUE"""),"копия")</f>
        <v>копия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>
      <c r="A36" s="19">
        <v>30</v>
      </c>
      <c r="B36" s="19" t="str">
        <f ca="1">IFERROR(__xludf.DUMMYFUNCTION("""COMPUTED_VALUE"""),"Добровольская С. Д.")</f>
        <v>Добровольская С. Д.</v>
      </c>
      <c r="C36" s="22">
        <f ca="1">IFERROR(__xludf.DUMMYFUNCTION("""COMPUTED_VALUE"""),3.9)</f>
        <v>3.9</v>
      </c>
      <c r="D36" s="20" t="str">
        <f ca="1">IFERROR(__xludf.DUMMYFUNCTION("""COMPUTED_VALUE"""),"ПК")</f>
        <v>ПК</v>
      </c>
      <c r="E36" s="20" t="str">
        <f ca="1">IFERROR(__xludf.DUMMYFUNCTION("""COMPUTED_VALUE"""),"копия")</f>
        <v>копия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>
      <c r="A37" s="19">
        <v>31</v>
      </c>
      <c r="B37" s="19" t="str">
        <f ca="1">IFERROR(__xludf.DUMMYFUNCTION("""COMPUTED_VALUE"""),"Колипова Э.  ")</f>
        <v xml:space="preserve">Колипова Э.  </v>
      </c>
      <c r="C37" s="20">
        <f ca="1">IFERROR(__xludf.DUMMYFUNCTION("""COMPUTED_VALUE"""),3.89)</f>
        <v>3.89</v>
      </c>
      <c r="D37" s="20" t="str">
        <f ca="1">IFERROR(__xludf.DUMMYFUNCTION("""COMPUTED_VALUE"""),"ПК")</f>
        <v>ПК</v>
      </c>
      <c r="E37" s="20" t="str">
        <f ca="1">IFERROR(__xludf.DUMMYFUNCTION("""COMPUTED_VALUE"""),"оригинал")</f>
        <v>оригинал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6" ht="13.5" customHeight="1">
      <c r="A38" s="19">
        <v>32</v>
      </c>
      <c r="B38" s="19" t="str">
        <f ca="1">IFERROR(__xludf.DUMMYFUNCTION("""COMPUTED_VALUE"""),"Брылякова Е.")</f>
        <v>Брылякова Е.</v>
      </c>
      <c r="C38" s="20">
        <f ca="1">IFERROR(__xludf.DUMMYFUNCTION("""COMPUTED_VALUE"""),3.89)</f>
        <v>3.89</v>
      </c>
      <c r="D38" s="20" t="str">
        <f ca="1">IFERROR(__xludf.DUMMYFUNCTION("""COMPUTED_VALUE"""),"ПК")</f>
        <v>ПК</v>
      </c>
      <c r="E38" s="20" t="str">
        <f ca="1">IFERROR(__xludf.DUMMYFUNCTION("""COMPUTED_VALUE"""),"оригинал ")</f>
        <v xml:space="preserve">оригинал 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6" ht="13.5" customHeight="1">
      <c r="A39" s="19">
        <v>33</v>
      </c>
      <c r="B39" s="19" t="str">
        <f ca="1">IFERROR(__xludf.DUMMYFUNCTION("""COMPUTED_VALUE"""),"Павлова К. ")</f>
        <v xml:space="preserve">Павлова К. </v>
      </c>
      <c r="C39" s="20">
        <f ca="1">IFERROR(__xludf.DUMMYFUNCTION("""COMPUTED_VALUE"""),3.89)</f>
        <v>3.89</v>
      </c>
      <c r="D39" s="20" t="str">
        <f ca="1">IFERROR(__xludf.DUMMYFUNCTION("""COMPUTED_VALUE"""),"ПК")</f>
        <v>ПК</v>
      </c>
      <c r="E39" s="20" t="str">
        <f ca="1">IFERROR(__xludf.DUMMYFUNCTION("""COMPUTED_VALUE"""),"копия")</f>
        <v>копия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6" ht="13.5" customHeight="1">
      <c r="A40" s="19">
        <v>34</v>
      </c>
      <c r="B40" s="19" t="str">
        <f ca="1">IFERROR(__xludf.DUMMYFUNCTION("""COMPUTED_VALUE"""),"Таранова А. ")</f>
        <v xml:space="preserve">Таранова А. </v>
      </c>
      <c r="C40" s="20">
        <f ca="1">IFERROR(__xludf.DUMMYFUNCTION("""COMPUTED_VALUE"""),3.88)</f>
        <v>3.88</v>
      </c>
      <c r="D40" s="20" t="str">
        <f ca="1">IFERROR(__xludf.DUMMYFUNCTION("""COMPUTED_VALUE"""),"ПК")</f>
        <v>ПК</v>
      </c>
      <c r="E40" s="20" t="str">
        <f ca="1">IFERROR(__xludf.DUMMYFUNCTION("""COMPUTED_VALUE"""),"копия")</f>
        <v>копия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6" ht="13.5" customHeight="1">
      <c r="A41" s="19">
        <v>35</v>
      </c>
      <c r="B41" s="19" t="str">
        <f ca="1">IFERROR(__xludf.DUMMYFUNCTION("""COMPUTED_VALUE"""),"Прокушева С.")</f>
        <v>Прокушева С.</v>
      </c>
      <c r="C41" s="20">
        <f ca="1">IFERROR(__xludf.DUMMYFUNCTION("""COMPUTED_VALUE"""),3.87)</f>
        <v>3.87</v>
      </c>
      <c r="D41" s="20" t="str">
        <f ca="1">IFERROR(__xludf.DUMMYFUNCTION("""COMPUTED_VALUE"""),"ПК")</f>
        <v>ПК</v>
      </c>
      <c r="E41" s="20" t="str">
        <f ca="1">IFERROR(__xludf.DUMMYFUNCTION("""COMPUTED_VALUE"""),"копия")</f>
        <v>копия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6" ht="13.5" customHeight="1">
      <c r="A42" s="19">
        <v>36</v>
      </c>
      <c r="B42" s="19" t="str">
        <f ca="1">IFERROR(__xludf.DUMMYFUNCTION("""COMPUTED_VALUE"""),"Карманов Е. ")</f>
        <v xml:space="preserve">Карманов Е. </v>
      </c>
      <c r="C42" s="20">
        <f ca="1">IFERROR(__xludf.DUMMYFUNCTION("""COMPUTED_VALUE"""),3.85)</f>
        <v>3.85</v>
      </c>
      <c r="D42" s="20" t="str">
        <f ca="1">IFERROR(__xludf.DUMMYFUNCTION("""COMPUTED_VALUE"""),"ПК")</f>
        <v>ПК</v>
      </c>
      <c r="E42" s="20" t="str">
        <f ca="1">IFERROR(__xludf.DUMMYFUNCTION("""COMPUTED_VALUE"""),"копия")</f>
        <v>копия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6" ht="13.5" customHeight="1">
      <c r="A43" s="19">
        <v>37</v>
      </c>
      <c r="B43" s="19" t="str">
        <f ca="1">IFERROR(__xludf.DUMMYFUNCTION("""COMPUTED_VALUE"""),"Панов В.")</f>
        <v>Панов В.</v>
      </c>
      <c r="C43" s="20">
        <f ca="1">IFERROR(__xludf.DUMMYFUNCTION("""COMPUTED_VALUE"""),3.84)</f>
        <v>3.84</v>
      </c>
      <c r="D43" s="20" t="str">
        <f ca="1">IFERROR(__xludf.DUMMYFUNCTION("""COMPUTED_VALUE"""),"ПК")</f>
        <v>ПК</v>
      </c>
      <c r="E43" s="20" t="str">
        <f ca="1">IFERROR(__xludf.DUMMYFUNCTION("""COMPUTED_VALUE"""),"копия")</f>
        <v>копия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6" ht="13.5" customHeight="1">
      <c r="A44" s="19">
        <v>38</v>
      </c>
      <c r="B44" s="19" t="str">
        <f ca="1">IFERROR(__xludf.DUMMYFUNCTION("""COMPUTED_VALUE"""),"Галаган Д.")</f>
        <v>Галаган Д.</v>
      </c>
      <c r="C44" s="23">
        <f ca="1">IFERROR(__xludf.DUMMYFUNCTION("""COMPUTED_VALUE"""),3.84)</f>
        <v>3.84</v>
      </c>
      <c r="D44" s="20" t="str">
        <f ca="1">IFERROR(__xludf.DUMMYFUNCTION("""COMPUTED_VALUE"""),"ПК")</f>
        <v>ПК</v>
      </c>
      <c r="E44" s="20" t="str">
        <f ca="1">IFERROR(__xludf.DUMMYFUNCTION("""COMPUTED_VALUE"""),"копия")</f>
        <v>копия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6" ht="13.5" customHeight="1">
      <c r="A45" s="19">
        <v>39</v>
      </c>
      <c r="B45" s="19" t="str">
        <f ca="1">IFERROR(__xludf.DUMMYFUNCTION("""COMPUTED_VALUE"""),"Готовчиц В. М.")</f>
        <v>Готовчиц В. М.</v>
      </c>
      <c r="C45" s="22">
        <f ca="1">IFERROR(__xludf.DUMMYFUNCTION("""COMPUTED_VALUE"""),3.84)</f>
        <v>3.84</v>
      </c>
      <c r="D45" s="20" t="str">
        <f ca="1">IFERROR(__xludf.DUMMYFUNCTION("""COMPUTED_VALUE"""),"ПК")</f>
        <v>ПК</v>
      </c>
      <c r="E45" s="20" t="str">
        <f ca="1">IFERROR(__xludf.DUMMYFUNCTION("""COMPUTED_VALUE"""),"копия")</f>
        <v>копия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6" ht="13.5" customHeight="1">
      <c r="A46" s="19">
        <v>40</v>
      </c>
      <c r="B46" s="19" t="str">
        <f ca="1">IFERROR(__xludf.DUMMYFUNCTION("""COMPUTED_VALUE"""),"Ульянова А.")</f>
        <v>Ульянова А.</v>
      </c>
      <c r="C46" s="20">
        <f ca="1">IFERROR(__xludf.DUMMYFUNCTION("""COMPUTED_VALUE"""),3.83)</f>
        <v>3.83</v>
      </c>
      <c r="D46" s="20" t="str">
        <f ca="1">IFERROR(__xludf.DUMMYFUNCTION("""COMPUTED_VALUE"""),"ПК")</f>
        <v>ПК</v>
      </c>
      <c r="E46" s="20" t="str">
        <f ca="1">IFERROR(__xludf.DUMMYFUNCTION("""COMPUTED_VALUE"""),"копия")</f>
        <v>копия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6" ht="13.5" customHeight="1">
      <c r="A47" s="19">
        <v>41</v>
      </c>
      <c r="B47" s="19" t="str">
        <f ca="1">IFERROR(__xludf.DUMMYFUNCTION("""COMPUTED_VALUE"""),"Дуброва А.")</f>
        <v>Дуброва А.</v>
      </c>
      <c r="C47" s="23">
        <f ca="1">IFERROR(__xludf.DUMMYFUNCTION("""COMPUTED_VALUE"""),3.83)</f>
        <v>3.83</v>
      </c>
      <c r="D47" s="20" t="str">
        <f ca="1">IFERROR(__xludf.DUMMYFUNCTION("""COMPUTED_VALUE"""),"ПК")</f>
        <v>ПК</v>
      </c>
      <c r="E47" s="20" t="str">
        <f ca="1">IFERROR(__xludf.DUMMYFUNCTION("""COMPUTED_VALUE"""),"оригинал")</f>
        <v>оригинал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6" ht="13.5" customHeight="1">
      <c r="A48" s="19">
        <v>42</v>
      </c>
      <c r="B48" s="19" t="str">
        <f ca="1">IFERROR(__xludf.DUMMYFUNCTION("""COMPUTED_VALUE"""),"Карманова Е. ")</f>
        <v xml:space="preserve">Карманова Е. </v>
      </c>
      <c r="C48" s="20">
        <f ca="1">IFERROR(__xludf.DUMMYFUNCTION("""COMPUTED_VALUE"""),3.83)</f>
        <v>3.83</v>
      </c>
      <c r="D48" s="20" t="str">
        <f ca="1">IFERROR(__xludf.DUMMYFUNCTION("""COMPUTED_VALUE"""),"ПК")</f>
        <v>ПК</v>
      </c>
      <c r="E48" s="20" t="str">
        <f ca="1">IFERROR(__xludf.DUMMYFUNCTION("""COMPUTED_VALUE"""),"копия")</f>
        <v>копия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13.5" customHeight="1">
      <c r="A49" s="19">
        <v>43</v>
      </c>
      <c r="B49" s="19" t="str">
        <f ca="1">IFERROR(__xludf.DUMMYFUNCTION("""COMPUTED_VALUE"""),"Рябова Д.")</f>
        <v>Рябова Д.</v>
      </c>
      <c r="C49" s="23">
        <f ca="1">IFERROR(__xludf.DUMMYFUNCTION("""COMPUTED_VALUE"""),3.83)</f>
        <v>3.83</v>
      </c>
      <c r="D49" s="20" t="str">
        <f ca="1">IFERROR(__xludf.DUMMYFUNCTION("""COMPUTED_VALUE"""),"ПК")</f>
        <v>ПК</v>
      </c>
      <c r="E49" s="20" t="str">
        <f ca="1">IFERROR(__xludf.DUMMYFUNCTION("""COMPUTED_VALUE"""),"копия")</f>
        <v>копия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13.5" customHeight="1">
      <c r="A50" s="19">
        <v>44</v>
      </c>
      <c r="B50" s="19" t="str">
        <f ca="1">IFERROR(__xludf.DUMMYFUNCTION("""COMPUTED_VALUE"""),"Вилежанинова В.")</f>
        <v>Вилежанинова В.</v>
      </c>
      <c r="C50" s="23">
        <f ca="1">IFERROR(__xludf.DUMMYFUNCTION("""COMPUTED_VALUE"""),3.82)</f>
        <v>3.82</v>
      </c>
      <c r="D50" s="20" t="str">
        <f ca="1">IFERROR(__xludf.DUMMYFUNCTION("""COMPUTED_VALUE"""),"ПК")</f>
        <v>ПК</v>
      </c>
      <c r="E50" s="20" t="str">
        <f ca="1">IFERROR(__xludf.DUMMYFUNCTION("""COMPUTED_VALUE"""),"оригинал ")</f>
        <v xml:space="preserve">оригинал 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13.5" customHeight="1">
      <c r="A51" s="19">
        <v>45</v>
      </c>
      <c r="B51" s="19" t="str">
        <f ca="1">IFERROR(__xludf.DUMMYFUNCTION("""COMPUTED_VALUE"""),"Синавина А.")</f>
        <v>Синавина А.</v>
      </c>
      <c r="C51" s="20">
        <f ca="1">IFERROR(__xludf.DUMMYFUNCTION("""COMPUTED_VALUE"""),3.82)</f>
        <v>3.82</v>
      </c>
      <c r="D51" s="20" t="str">
        <f ca="1">IFERROR(__xludf.DUMMYFUNCTION("""COMPUTED_VALUE"""),"ПК")</f>
        <v>ПК</v>
      </c>
      <c r="E51" s="20" t="str">
        <f ca="1">IFERROR(__xludf.DUMMYFUNCTION("""COMPUTED_VALUE"""),"копия")</f>
        <v>копия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13.5" customHeight="1">
      <c r="A52" s="19">
        <v>46</v>
      </c>
      <c r="B52" s="19" t="str">
        <f ca="1">IFERROR(__xludf.DUMMYFUNCTION("""COMPUTED_VALUE"""),"Прокудина В.")</f>
        <v>Прокудина В.</v>
      </c>
      <c r="C52" s="20">
        <f ca="1">IFERROR(__xludf.DUMMYFUNCTION("""COMPUTED_VALUE"""),3.79)</f>
        <v>3.79</v>
      </c>
      <c r="D52" s="20" t="str">
        <f ca="1">IFERROR(__xludf.DUMMYFUNCTION("""COMPUTED_VALUE"""),"ПК")</f>
        <v>ПК</v>
      </c>
      <c r="E52" s="20" t="str">
        <f ca="1">IFERROR(__xludf.DUMMYFUNCTION("""COMPUTED_VALUE"""),"копия")</f>
        <v>копия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13.5" customHeight="1">
      <c r="A53" s="19">
        <v>47</v>
      </c>
      <c r="B53" s="19" t="str">
        <f ca="1">IFERROR(__xludf.DUMMYFUNCTION("""COMPUTED_VALUE"""),"Тоноян Г.")</f>
        <v>Тоноян Г.</v>
      </c>
      <c r="C53" s="20">
        <f ca="1">IFERROR(__xludf.DUMMYFUNCTION("""COMPUTED_VALUE"""),3.79)</f>
        <v>3.79</v>
      </c>
      <c r="D53" s="20" t="str">
        <f ca="1">IFERROR(__xludf.DUMMYFUNCTION("""COMPUTED_VALUE"""),"ПК")</f>
        <v>ПК</v>
      </c>
      <c r="E53" s="20" t="str">
        <f ca="1">IFERROR(__xludf.DUMMYFUNCTION("""COMPUTED_VALUE"""),"оригинал")</f>
        <v>оригинал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13.5" customHeight="1">
      <c r="A54" s="19">
        <v>48</v>
      </c>
      <c r="B54" s="19" t="str">
        <f ca="1">IFERROR(__xludf.DUMMYFUNCTION("""COMPUTED_VALUE"""),"Доронина Е.")</f>
        <v>Доронина Е.</v>
      </c>
      <c r="C54" s="20">
        <f ca="1">IFERROR(__xludf.DUMMYFUNCTION("""COMPUTED_VALUE"""),3.79)</f>
        <v>3.79</v>
      </c>
      <c r="D54" s="20" t="str">
        <f ca="1">IFERROR(__xludf.DUMMYFUNCTION("""COMPUTED_VALUE"""),"ПК")</f>
        <v>ПК</v>
      </c>
      <c r="E54" s="20" t="str">
        <f ca="1">IFERROR(__xludf.DUMMYFUNCTION("""COMPUTED_VALUE"""),"копия")</f>
        <v>копия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13.5" customHeight="1">
      <c r="A55" s="19">
        <v>49</v>
      </c>
      <c r="B55" s="19" t="str">
        <f ca="1">IFERROR(__xludf.DUMMYFUNCTION("""COMPUTED_VALUE"""),"Подорова Е.")</f>
        <v>Подорова Е.</v>
      </c>
      <c r="C55" s="20">
        <f ca="1">IFERROR(__xludf.DUMMYFUNCTION("""COMPUTED_VALUE"""),3.79)</f>
        <v>3.79</v>
      </c>
      <c r="D55" s="20" t="str">
        <f ca="1">IFERROR(__xludf.DUMMYFUNCTION("""COMPUTED_VALUE"""),"ПК")</f>
        <v>ПК</v>
      </c>
      <c r="E55" s="20" t="str">
        <f ca="1">IFERROR(__xludf.DUMMYFUNCTION("""COMPUTED_VALUE"""),"копия")</f>
        <v>копия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13.5" customHeight="1">
      <c r="A56" s="19">
        <v>50</v>
      </c>
      <c r="B56" s="19" t="str">
        <f ca="1">IFERROR(__xludf.DUMMYFUNCTION("""COMPUTED_VALUE"""),"Кудрявцева П.")</f>
        <v>Кудрявцева П.</v>
      </c>
      <c r="C56" s="20">
        <f ca="1">IFERROR(__xludf.DUMMYFUNCTION("""COMPUTED_VALUE"""),3.79)</f>
        <v>3.79</v>
      </c>
      <c r="D56" s="20" t="str">
        <f ca="1">IFERROR(__xludf.DUMMYFUNCTION("""COMPUTED_VALUE"""),"ПК")</f>
        <v>ПК</v>
      </c>
      <c r="E56" s="20" t="str">
        <f ca="1">IFERROR(__xludf.DUMMYFUNCTION("""COMPUTED_VALUE"""),"копия")</f>
        <v>копия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13.5" customHeight="1">
      <c r="A57" s="19">
        <v>51</v>
      </c>
      <c r="B57" s="19" t="str">
        <f ca="1">IFERROR(__xludf.DUMMYFUNCTION("""COMPUTED_VALUE"""),"Томова М.")</f>
        <v>Томова М.</v>
      </c>
      <c r="C57" s="23">
        <f ca="1">IFERROR(__xludf.DUMMYFUNCTION("""COMPUTED_VALUE"""),3.78)</f>
        <v>3.78</v>
      </c>
      <c r="D57" s="20" t="str">
        <f ca="1">IFERROR(__xludf.DUMMYFUNCTION("""COMPUTED_VALUE"""),"ПК")</f>
        <v>ПК</v>
      </c>
      <c r="E57" s="20" t="str">
        <f ca="1">IFERROR(__xludf.DUMMYFUNCTION("""COMPUTED_VALUE"""),"копия")</f>
        <v>копия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3.5" customHeight="1">
      <c r="A58" s="19">
        <v>52</v>
      </c>
      <c r="B58" s="19" t="str">
        <f ca="1">IFERROR(__xludf.DUMMYFUNCTION("""COMPUTED_VALUE"""),"Рогожникова А.")</f>
        <v>Рогожникова А.</v>
      </c>
      <c r="C58" s="20">
        <f ca="1">IFERROR(__xludf.DUMMYFUNCTION("""COMPUTED_VALUE"""),3.78)</f>
        <v>3.78</v>
      </c>
      <c r="D58" s="20" t="str">
        <f ca="1">IFERROR(__xludf.DUMMYFUNCTION("""COMPUTED_VALUE"""),"ПК")</f>
        <v>ПК</v>
      </c>
      <c r="E58" s="20" t="str">
        <f ca="1">IFERROR(__xludf.DUMMYFUNCTION("""COMPUTED_VALUE"""),"копия")</f>
        <v>копия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13.5" customHeight="1">
      <c r="A59" s="19">
        <v>53</v>
      </c>
      <c r="B59" s="19" t="str">
        <f ca="1">IFERROR(__xludf.DUMMYFUNCTION("""COMPUTED_VALUE"""),"Ракина С.")</f>
        <v>Ракина С.</v>
      </c>
      <c r="C59" s="23">
        <f ca="1">IFERROR(__xludf.DUMMYFUNCTION("""COMPUTED_VALUE"""),3.78)</f>
        <v>3.78</v>
      </c>
      <c r="D59" s="20" t="str">
        <f ca="1">IFERROR(__xludf.DUMMYFUNCTION("""COMPUTED_VALUE"""),"ПК")</f>
        <v>ПК</v>
      </c>
      <c r="E59" s="20" t="str">
        <f ca="1">IFERROR(__xludf.DUMMYFUNCTION("""COMPUTED_VALUE"""),"копия")</f>
        <v>копия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13.5" customHeight="1">
      <c r="A60" s="19">
        <v>54</v>
      </c>
      <c r="B60" s="19" t="str">
        <f ca="1">IFERROR(__xludf.DUMMYFUNCTION("""COMPUTED_VALUE"""),"Конанов В.")</f>
        <v>Конанов В.</v>
      </c>
      <c r="C60" s="20">
        <f ca="1">IFERROR(__xludf.DUMMYFUNCTION("""COMPUTED_VALUE"""),3.78)</f>
        <v>3.78</v>
      </c>
      <c r="D60" s="20" t="str">
        <f ca="1">IFERROR(__xludf.DUMMYFUNCTION("""COMPUTED_VALUE"""),"ПК")</f>
        <v>ПК</v>
      </c>
      <c r="E60" s="20" t="str">
        <f ca="1">IFERROR(__xludf.DUMMYFUNCTION("""COMPUTED_VALUE"""),"копия")</f>
        <v>копия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13.5" customHeight="1">
      <c r="A61" s="19">
        <v>55</v>
      </c>
      <c r="B61" s="19" t="str">
        <f ca="1">IFERROR(__xludf.DUMMYFUNCTION("""COMPUTED_VALUE"""),"Уляшева Д.")</f>
        <v>Уляшева Д.</v>
      </c>
      <c r="C61" s="20">
        <f ca="1">IFERROR(__xludf.DUMMYFUNCTION("""COMPUTED_VALUE"""),3.77)</f>
        <v>3.77</v>
      </c>
      <c r="D61" s="20" t="str">
        <f ca="1">IFERROR(__xludf.DUMMYFUNCTION("""COMPUTED_VALUE"""),"ПК")</f>
        <v>ПК</v>
      </c>
      <c r="E61" s="20" t="str">
        <f ca="1">IFERROR(__xludf.DUMMYFUNCTION("""COMPUTED_VALUE"""),"копия")</f>
        <v>копия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13.5" customHeight="1">
      <c r="A62" s="19">
        <v>56</v>
      </c>
      <c r="B62" s="19" t="str">
        <f ca="1">IFERROR(__xludf.DUMMYFUNCTION("""COMPUTED_VALUE"""),"Рочева О. ")</f>
        <v xml:space="preserve">Рочева О. </v>
      </c>
      <c r="C62" s="23">
        <f ca="1">IFERROR(__xludf.DUMMYFUNCTION("""COMPUTED_VALUE"""),3.76)</f>
        <v>3.76</v>
      </c>
      <c r="D62" s="20" t="str">
        <f ca="1">IFERROR(__xludf.DUMMYFUNCTION("""COMPUTED_VALUE"""),"ПК")</f>
        <v>ПК</v>
      </c>
      <c r="E62" s="20" t="str">
        <f ca="1">IFERROR(__xludf.DUMMYFUNCTION("""COMPUTED_VALUE"""),"копия")</f>
        <v>копия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13.5" customHeight="1">
      <c r="A63" s="19">
        <v>57</v>
      </c>
      <c r="B63" s="19" t="str">
        <f ca="1">IFERROR(__xludf.DUMMYFUNCTION("""COMPUTED_VALUE"""),"Коновалова П.")</f>
        <v>Коновалова П.</v>
      </c>
      <c r="C63" s="23">
        <f ca="1">IFERROR(__xludf.DUMMYFUNCTION("""COMPUTED_VALUE"""),3.74)</f>
        <v>3.74</v>
      </c>
      <c r="D63" s="20" t="str">
        <f ca="1">IFERROR(__xludf.DUMMYFUNCTION("""COMPUTED_VALUE"""),"ПК")</f>
        <v>ПК</v>
      </c>
      <c r="E63" s="20" t="str">
        <f ca="1">IFERROR(__xludf.DUMMYFUNCTION("""COMPUTED_VALUE"""),"копия")</f>
        <v>копия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13.5" customHeight="1">
      <c r="A64" s="19">
        <v>58</v>
      </c>
      <c r="B64" s="19" t="str">
        <f ca="1">IFERROR(__xludf.DUMMYFUNCTION("""COMPUTED_VALUE"""),"Авдеев Е.")</f>
        <v>Авдеев Е.</v>
      </c>
      <c r="C64" s="20">
        <f ca="1">IFERROR(__xludf.DUMMYFUNCTION("""COMPUTED_VALUE"""),3.74)</f>
        <v>3.74</v>
      </c>
      <c r="D64" s="20" t="str">
        <f ca="1">IFERROR(__xludf.DUMMYFUNCTION("""COMPUTED_VALUE"""),"ПК")</f>
        <v>ПК</v>
      </c>
      <c r="E64" s="20" t="str">
        <f ca="1">IFERROR(__xludf.DUMMYFUNCTION("""COMPUTED_VALUE"""),"копия")</f>
        <v>копия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13.5" customHeight="1">
      <c r="A65" s="19">
        <v>59</v>
      </c>
      <c r="B65" s="19" t="str">
        <f ca="1">IFERROR(__xludf.DUMMYFUNCTION("""COMPUTED_VALUE"""),"Забоева Д.")</f>
        <v>Забоева Д.</v>
      </c>
      <c r="C65" s="20">
        <f ca="1">IFERROR(__xludf.DUMMYFUNCTION("""COMPUTED_VALUE"""),3.73)</f>
        <v>3.73</v>
      </c>
      <c r="D65" s="20" t="str">
        <f ca="1">IFERROR(__xludf.DUMMYFUNCTION("""COMPUTED_VALUE"""),"ПК")</f>
        <v>ПК</v>
      </c>
      <c r="E65" s="20" t="str">
        <f ca="1">IFERROR(__xludf.DUMMYFUNCTION("""COMPUTED_VALUE"""),"копия")</f>
        <v>копия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13.5" customHeight="1">
      <c r="A66" s="30">
        <v>60</v>
      </c>
      <c r="B66" s="19" t="str">
        <f ca="1">IFERROR(__xludf.DUMMYFUNCTION("""COMPUTED_VALUE"""),"Волкова Д. ")</f>
        <v xml:space="preserve">Волкова Д. </v>
      </c>
      <c r="C66" s="23">
        <f ca="1">IFERROR(__xludf.DUMMYFUNCTION("""COMPUTED_VALUE"""),3.73)</f>
        <v>3.73</v>
      </c>
      <c r="D66" s="20" t="str">
        <f ca="1">IFERROR(__xludf.DUMMYFUNCTION("""COMPUTED_VALUE"""),"ПК")</f>
        <v>ПК</v>
      </c>
      <c r="E66" s="20" t="str">
        <f ca="1">IFERROR(__xludf.DUMMYFUNCTION("""COMPUTED_VALUE"""),"копия")</f>
        <v>копия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13.5" customHeight="1">
      <c r="A67" s="30">
        <v>61</v>
      </c>
      <c r="B67" s="19" t="str">
        <f ca="1">IFERROR(__xludf.DUMMYFUNCTION("""COMPUTED_VALUE"""),"Шахова В.")</f>
        <v>Шахова В.</v>
      </c>
      <c r="C67" s="20">
        <f ca="1">IFERROR(__xludf.DUMMYFUNCTION("""COMPUTED_VALUE"""),3.72)</f>
        <v>3.72</v>
      </c>
      <c r="D67" s="20" t="str">
        <f ca="1">IFERROR(__xludf.DUMMYFUNCTION("""COMPUTED_VALUE"""),"ПК")</f>
        <v>ПК</v>
      </c>
      <c r="E67" s="20" t="str">
        <f ca="1">IFERROR(__xludf.DUMMYFUNCTION("""COMPUTED_VALUE"""),"копия")</f>
        <v>копия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13.5" customHeight="1">
      <c r="A68" s="30">
        <v>62</v>
      </c>
      <c r="B68" s="19" t="str">
        <f ca="1">IFERROR(__xludf.DUMMYFUNCTION("""COMPUTED_VALUE"""),"Ибрагимова Д.")</f>
        <v>Ибрагимова Д.</v>
      </c>
      <c r="C68" s="20">
        <f ca="1">IFERROR(__xludf.DUMMYFUNCTION("""COMPUTED_VALUE"""),3.72)</f>
        <v>3.72</v>
      </c>
      <c r="D68" s="20" t="str">
        <f ca="1">IFERROR(__xludf.DUMMYFUNCTION("""COMPUTED_VALUE"""),"ПК")</f>
        <v>ПК</v>
      </c>
      <c r="E68" s="20" t="str">
        <f ca="1">IFERROR(__xludf.DUMMYFUNCTION("""COMPUTED_VALUE"""),"копия")</f>
        <v>копия</v>
      </c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13.5" customHeight="1">
      <c r="A69" s="30">
        <v>63</v>
      </c>
      <c r="B69" s="19" t="str">
        <f ca="1">IFERROR(__xludf.DUMMYFUNCTION("""COMPUTED_VALUE"""),"Комарова Н.")</f>
        <v>Комарова Н.</v>
      </c>
      <c r="C69" s="20">
        <f ca="1">IFERROR(__xludf.DUMMYFUNCTION("""COMPUTED_VALUE"""),3.72)</f>
        <v>3.72</v>
      </c>
      <c r="D69" s="20" t="str">
        <f ca="1">IFERROR(__xludf.DUMMYFUNCTION("""COMPUTED_VALUE"""),"ПК")</f>
        <v>ПК</v>
      </c>
      <c r="E69" s="20" t="str">
        <f ca="1">IFERROR(__xludf.DUMMYFUNCTION("""COMPUTED_VALUE"""),"копия")</f>
        <v>копия</v>
      </c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13.5" customHeight="1">
      <c r="A70" s="30">
        <v>64</v>
      </c>
      <c r="B70" s="19" t="str">
        <f ca="1">IFERROR(__xludf.DUMMYFUNCTION("""COMPUTED_VALUE"""),"Шарапова А.  ")</f>
        <v xml:space="preserve">Шарапова А.  </v>
      </c>
      <c r="C70" s="20">
        <f ca="1">IFERROR(__xludf.DUMMYFUNCTION("""COMPUTED_VALUE"""),3.72)</f>
        <v>3.72</v>
      </c>
      <c r="D70" s="20" t="str">
        <f ca="1">IFERROR(__xludf.DUMMYFUNCTION("""COMPUTED_VALUE"""),"ПК")</f>
        <v>ПК</v>
      </c>
      <c r="E70" s="20" t="str">
        <f ca="1">IFERROR(__xludf.DUMMYFUNCTION("""COMPUTED_VALUE"""),"копия")</f>
        <v>копия</v>
      </c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13.5" customHeight="1">
      <c r="A71" s="30">
        <v>65</v>
      </c>
      <c r="B71" s="19" t="str">
        <f ca="1">IFERROR(__xludf.DUMMYFUNCTION("""COMPUTED_VALUE"""),"Кошеев Т.")</f>
        <v>Кошеев Т.</v>
      </c>
      <c r="C71" s="23">
        <f ca="1">IFERROR(__xludf.DUMMYFUNCTION("""COMPUTED_VALUE"""),3.7)</f>
        <v>3.7</v>
      </c>
      <c r="D71" s="20" t="str">
        <f ca="1">IFERROR(__xludf.DUMMYFUNCTION("""COMPUTED_VALUE"""),"ПК")</f>
        <v>ПК</v>
      </c>
      <c r="E71" s="20" t="str">
        <f ca="1">IFERROR(__xludf.DUMMYFUNCTION("""COMPUTED_VALUE"""),"копия")</f>
        <v>копия</v>
      </c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13.5" customHeight="1">
      <c r="A72" s="30">
        <v>66</v>
      </c>
      <c r="B72" s="19" t="str">
        <f ca="1">IFERROR(__xludf.DUMMYFUNCTION("""COMPUTED_VALUE"""),"Зюзев А.")</f>
        <v>Зюзев А.</v>
      </c>
      <c r="C72" s="23">
        <f ca="1">IFERROR(__xludf.DUMMYFUNCTION("""COMPUTED_VALUE"""),3.7)</f>
        <v>3.7</v>
      </c>
      <c r="D72" s="20" t="str">
        <f ca="1">IFERROR(__xludf.DUMMYFUNCTION("""COMPUTED_VALUE"""),"ПК")</f>
        <v>ПК</v>
      </c>
      <c r="E72" s="20" t="str">
        <f ca="1">IFERROR(__xludf.DUMMYFUNCTION("""COMPUTED_VALUE"""),"оригинал ")</f>
        <v xml:space="preserve">оригинал </v>
      </c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13.5" customHeight="1">
      <c r="A73" s="30">
        <v>67</v>
      </c>
      <c r="B73" s="19" t="str">
        <f ca="1">IFERROR(__xludf.DUMMYFUNCTION("""COMPUTED_VALUE"""),"Чеусова А.А.")</f>
        <v>Чеусова А.А.</v>
      </c>
      <c r="C73" s="22">
        <f ca="1">IFERROR(__xludf.DUMMYFUNCTION("""COMPUTED_VALUE"""),3.68)</f>
        <v>3.68</v>
      </c>
      <c r="D73" s="20" t="str">
        <f ca="1">IFERROR(__xludf.DUMMYFUNCTION("""COMPUTED_VALUE"""),"ПК")</f>
        <v>ПК</v>
      </c>
      <c r="E73" s="20" t="str">
        <f ca="1">IFERROR(__xludf.DUMMYFUNCTION("""COMPUTED_VALUE"""),"копия")</f>
        <v>копия</v>
      </c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13.5" customHeight="1">
      <c r="A74" s="30">
        <v>68</v>
      </c>
      <c r="B74" s="19" t="str">
        <f ca="1">IFERROR(__xludf.DUMMYFUNCTION("""COMPUTED_VALUE"""),"Пунегова К. ")</f>
        <v xml:space="preserve">Пунегова К. </v>
      </c>
      <c r="C74" s="20">
        <f ca="1">IFERROR(__xludf.DUMMYFUNCTION("""COMPUTED_VALUE"""),3.65)</f>
        <v>3.65</v>
      </c>
      <c r="D74" s="20" t="str">
        <f ca="1">IFERROR(__xludf.DUMMYFUNCTION("""COMPUTED_VALUE"""),"ПК")</f>
        <v>ПК</v>
      </c>
      <c r="E74" s="20" t="str">
        <f ca="1">IFERROR(__xludf.DUMMYFUNCTION("""COMPUTED_VALUE"""),"копия")</f>
        <v>копия</v>
      </c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13.5" customHeight="1">
      <c r="A75" s="30">
        <v>69</v>
      </c>
      <c r="B75" s="19" t="str">
        <f ca="1">IFERROR(__xludf.DUMMYFUNCTION("""COMPUTED_VALUE"""),"Юрьева А.")</f>
        <v>Юрьева А.</v>
      </c>
      <c r="C75" s="23">
        <f ca="1">IFERROR(__xludf.DUMMYFUNCTION("""COMPUTED_VALUE"""),3.63)</f>
        <v>3.63</v>
      </c>
      <c r="D75" s="20" t="str">
        <f ca="1">IFERROR(__xludf.DUMMYFUNCTION("""COMPUTED_VALUE"""),"ПК")</f>
        <v>ПК</v>
      </c>
      <c r="E75" s="20" t="str">
        <f ca="1">IFERROR(__xludf.DUMMYFUNCTION("""COMPUTED_VALUE"""),"копия")</f>
        <v>копия</v>
      </c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13.5" customHeight="1">
      <c r="A76" s="30">
        <v>70</v>
      </c>
      <c r="B76" s="19" t="str">
        <f ca="1">IFERROR(__xludf.DUMMYFUNCTION("""COMPUTED_VALUE"""),"Потапенко О.")</f>
        <v>Потапенко О.</v>
      </c>
      <c r="C76" s="20">
        <f ca="1">IFERROR(__xludf.DUMMYFUNCTION("""COMPUTED_VALUE"""),3.63)</f>
        <v>3.63</v>
      </c>
      <c r="D76" s="20" t="str">
        <f ca="1">IFERROR(__xludf.DUMMYFUNCTION("""COMPUTED_VALUE"""),"ПК")</f>
        <v>ПК</v>
      </c>
      <c r="E76" s="20" t="str">
        <f ca="1">IFERROR(__xludf.DUMMYFUNCTION("""COMPUTED_VALUE"""),"копия")</f>
        <v>копия</v>
      </c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13.5" customHeight="1">
      <c r="A77" s="30">
        <v>71</v>
      </c>
      <c r="B77" s="19" t="str">
        <f ca="1">IFERROR(__xludf.DUMMYFUNCTION("""COMPUTED_VALUE"""),"Солдатенко В. ")</f>
        <v xml:space="preserve">Солдатенко В. </v>
      </c>
      <c r="C77" s="23">
        <f ca="1">IFERROR(__xludf.DUMMYFUNCTION("""COMPUTED_VALUE"""),3.63)</f>
        <v>3.63</v>
      </c>
      <c r="D77" s="20" t="str">
        <f ca="1">IFERROR(__xludf.DUMMYFUNCTION("""COMPUTED_VALUE"""),"ПК")</f>
        <v>ПК</v>
      </c>
      <c r="E77" s="20" t="str">
        <f ca="1">IFERROR(__xludf.DUMMYFUNCTION("""COMPUTED_VALUE"""),"копия")</f>
        <v>копия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13.5" customHeight="1">
      <c r="A78" s="30">
        <v>72</v>
      </c>
      <c r="B78" s="19" t="str">
        <f ca="1">IFERROR(__xludf.DUMMYFUNCTION("""COMPUTED_VALUE"""),"Размыслова Л.")</f>
        <v>Размыслова Л.</v>
      </c>
      <c r="C78" s="20">
        <f ca="1">IFERROR(__xludf.DUMMYFUNCTION("""COMPUTED_VALUE"""),3.63)</f>
        <v>3.63</v>
      </c>
      <c r="D78" s="20" t="str">
        <f ca="1">IFERROR(__xludf.DUMMYFUNCTION("""COMPUTED_VALUE"""),"ПК")</f>
        <v>ПК</v>
      </c>
      <c r="E78" s="20" t="str">
        <f ca="1">IFERROR(__xludf.DUMMYFUNCTION("""COMPUTED_VALUE"""),"оригинал")</f>
        <v>оригинал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13.5" customHeight="1">
      <c r="A79" s="30">
        <v>73</v>
      </c>
      <c r="B79" s="19" t="str">
        <f ca="1">IFERROR(__xludf.DUMMYFUNCTION("""COMPUTED_VALUE"""),"Смирнов Д.")</f>
        <v>Смирнов Д.</v>
      </c>
      <c r="C79" s="23">
        <f ca="1">IFERROR(__xludf.DUMMYFUNCTION("""COMPUTED_VALUE"""),3.63)</f>
        <v>3.63</v>
      </c>
      <c r="D79" s="20" t="str">
        <f ca="1">IFERROR(__xludf.DUMMYFUNCTION("""COMPUTED_VALUE"""),"ПК")</f>
        <v>ПК</v>
      </c>
      <c r="E79" s="20" t="str">
        <f ca="1">IFERROR(__xludf.DUMMYFUNCTION("""COMPUTED_VALUE"""),"оригинал ")</f>
        <v xml:space="preserve">оригинал 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13.5" customHeight="1">
      <c r="A80" s="30">
        <v>74</v>
      </c>
      <c r="B80" s="19" t="str">
        <f ca="1">IFERROR(__xludf.DUMMYFUNCTION("""COMPUTED_VALUE"""),"Кутепова Д. В.")</f>
        <v>Кутепова Д. В.</v>
      </c>
      <c r="C80" s="22">
        <f ca="1">IFERROR(__xludf.DUMMYFUNCTION("""COMPUTED_VALUE"""),3.63)</f>
        <v>3.63</v>
      </c>
      <c r="D80" s="20" t="str">
        <f ca="1">IFERROR(__xludf.DUMMYFUNCTION("""COMPUTED_VALUE"""),"ПК")</f>
        <v>ПК</v>
      </c>
      <c r="E80" s="20" t="str">
        <f ca="1">IFERROR(__xludf.DUMMYFUNCTION("""COMPUTED_VALUE"""),"оригинал")</f>
        <v>оригинал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13.5" customHeight="1">
      <c r="A81" s="30">
        <v>75</v>
      </c>
      <c r="B81" s="19" t="str">
        <f ca="1">IFERROR(__xludf.DUMMYFUNCTION("""COMPUTED_VALUE"""),"Перевезенцев С.")</f>
        <v>Перевезенцев С.</v>
      </c>
      <c r="C81" s="23">
        <f ca="1">IFERROR(__xludf.DUMMYFUNCTION("""COMPUTED_VALUE"""),3.61)</f>
        <v>3.61</v>
      </c>
      <c r="D81" s="20" t="str">
        <f ca="1">IFERROR(__xludf.DUMMYFUNCTION("""COMPUTED_VALUE"""),"ПК")</f>
        <v>ПК</v>
      </c>
      <c r="E81" s="20" t="str">
        <f ca="1">IFERROR(__xludf.DUMMYFUNCTION("""COMPUTED_VALUE"""),"копия")</f>
        <v>копия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13.5" customHeight="1">
      <c r="A82" s="30">
        <v>76</v>
      </c>
      <c r="B82" s="19" t="str">
        <f ca="1">IFERROR(__xludf.DUMMYFUNCTION("""COMPUTED_VALUE"""),"Перевезенцев С.")</f>
        <v>Перевезенцев С.</v>
      </c>
      <c r="C82" s="20">
        <f ca="1">IFERROR(__xludf.DUMMYFUNCTION("""COMPUTED_VALUE"""),3.61)</f>
        <v>3.61</v>
      </c>
      <c r="D82" s="6" t="str">
        <f ca="1">IFERROR(__xludf.DUMMYFUNCTION("""COMPUTED_VALUE"""),"ПК")</f>
        <v>ПК</v>
      </c>
      <c r="E82" s="20" t="str">
        <f ca="1">IFERROR(__xludf.DUMMYFUNCTION("""COMPUTED_VALUE"""),"копия")</f>
        <v>копия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13.5" customHeight="1">
      <c r="A83" s="30">
        <v>77</v>
      </c>
      <c r="B83" s="19" t="str">
        <f ca="1">IFERROR(__xludf.DUMMYFUNCTION("""COMPUTED_VALUE"""),"Акзамова В.")</f>
        <v>Акзамова В.</v>
      </c>
      <c r="C83" s="23">
        <f ca="1">IFERROR(__xludf.DUMMYFUNCTION("""COMPUTED_VALUE"""),3.61)</f>
        <v>3.61</v>
      </c>
      <c r="D83" s="6" t="str">
        <f ca="1">IFERROR(__xludf.DUMMYFUNCTION("""COMPUTED_VALUE"""),"ПК")</f>
        <v>ПК</v>
      </c>
      <c r="E83" s="20" t="str">
        <f ca="1">IFERROR(__xludf.DUMMYFUNCTION("""COMPUTED_VALUE"""),"копия")</f>
        <v>копия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13.5" customHeight="1">
      <c r="A84" s="30">
        <v>78</v>
      </c>
      <c r="B84" s="19" t="str">
        <f ca="1">IFERROR(__xludf.DUMMYFUNCTION("""COMPUTED_VALUE"""),"Лютоева К.")</f>
        <v>Лютоева К.</v>
      </c>
      <c r="C84" s="20">
        <f ca="1">IFERROR(__xludf.DUMMYFUNCTION("""COMPUTED_VALUE"""),3.61)</f>
        <v>3.61</v>
      </c>
      <c r="D84" s="6" t="str">
        <f ca="1">IFERROR(__xludf.DUMMYFUNCTION("""COMPUTED_VALUE"""),"ПК")</f>
        <v>ПК</v>
      </c>
      <c r="E84" s="20" t="str">
        <f ca="1">IFERROR(__xludf.DUMMYFUNCTION("""COMPUTED_VALUE"""),"копия")</f>
        <v>копия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13.5" customHeight="1">
      <c r="A85" s="30">
        <v>79</v>
      </c>
      <c r="B85" s="19" t="str">
        <f ca="1">IFERROR(__xludf.DUMMYFUNCTION("""COMPUTED_VALUE"""),"Потолицына С. Р.")</f>
        <v>Потолицына С. Р.</v>
      </c>
      <c r="C85" s="22">
        <f ca="1">IFERROR(__xludf.DUMMYFUNCTION("""COMPUTED_VALUE"""),3.59)</f>
        <v>3.59</v>
      </c>
      <c r="D85" s="6" t="str">
        <f ca="1">IFERROR(__xludf.DUMMYFUNCTION("""COMPUTED_VALUE"""),"ПК")</f>
        <v>ПК</v>
      </c>
      <c r="E85" s="20" t="str">
        <f ca="1">IFERROR(__xludf.DUMMYFUNCTION("""COMPUTED_VALUE"""),"копия")</f>
        <v>копия</v>
      </c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3.5" customHeight="1">
      <c r="A86" s="30">
        <v>80</v>
      </c>
      <c r="B86" s="19" t="str">
        <f ca="1">IFERROR(__xludf.DUMMYFUNCTION("""COMPUTED_VALUE"""),"Литовченко")</f>
        <v>Литовченко</v>
      </c>
      <c r="C86" s="20">
        <f ca="1">IFERROR(__xludf.DUMMYFUNCTION("""COMPUTED_VALUE"""),3.58)</f>
        <v>3.58</v>
      </c>
      <c r="D86" s="6" t="str">
        <f ca="1">IFERROR(__xludf.DUMMYFUNCTION("""COMPUTED_VALUE"""),"ПК")</f>
        <v>ПК</v>
      </c>
      <c r="E86" s="20" t="str">
        <f ca="1">IFERROR(__xludf.DUMMYFUNCTION("""COMPUTED_VALUE"""),"копия")</f>
        <v>копия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3.5" customHeight="1">
      <c r="A87" s="30">
        <v>81</v>
      </c>
      <c r="B87" s="19" t="str">
        <f ca="1">IFERROR(__xludf.DUMMYFUNCTION("""COMPUTED_VALUE"""),"Козлова М. ")</f>
        <v xml:space="preserve">Козлова М. </v>
      </c>
      <c r="C87" s="20">
        <f ca="1">IFERROR(__xludf.DUMMYFUNCTION("""COMPUTED_VALUE"""),3.58)</f>
        <v>3.58</v>
      </c>
      <c r="D87" s="6" t="str">
        <f ca="1">IFERROR(__xludf.DUMMYFUNCTION("""COMPUTED_VALUE"""),"ПК")</f>
        <v>ПК</v>
      </c>
      <c r="E87" s="20" t="str">
        <f ca="1">IFERROR(__xludf.DUMMYFUNCTION("""COMPUTED_VALUE"""),"копия")</f>
        <v>копия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13.5" customHeight="1">
      <c r="A88" s="30">
        <v>82</v>
      </c>
      <c r="B88" s="19" t="str">
        <f ca="1">IFERROR(__xludf.DUMMYFUNCTION("""COMPUTED_VALUE"""),"Самойленко Я.")</f>
        <v>Самойленко Я.</v>
      </c>
      <c r="C88" s="20">
        <f ca="1">IFERROR(__xludf.DUMMYFUNCTION("""COMPUTED_VALUE"""),3.58)</f>
        <v>3.58</v>
      </c>
      <c r="D88" s="6" t="str">
        <f ca="1">IFERROR(__xludf.DUMMYFUNCTION("""COMPUTED_VALUE"""),"ПК")</f>
        <v>ПК</v>
      </c>
      <c r="E88" s="20" t="str">
        <f ca="1">IFERROR(__xludf.DUMMYFUNCTION("""COMPUTED_VALUE"""),"оригинал ")</f>
        <v xml:space="preserve">оригинал 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13.5" customHeight="1">
      <c r="A89" s="30">
        <v>83</v>
      </c>
      <c r="B89" s="19" t="str">
        <f ca="1">IFERROR(__xludf.DUMMYFUNCTION("""COMPUTED_VALUE"""),"Попова В. ")</f>
        <v xml:space="preserve">Попова В. </v>
      </c>
      <c r="C89" s="20">
        <f ca="1">IFERROR(__xludf.DUMMYFUNCTION("""COMPUTED_VALUE"""),3.58)</f>
        <v>3.58</v>
      </c>
      <c r="D89" s="6" t="str">
        <f ca="1">IFERROR(__xludf.DUMMYFUNCTION("""COMPUTED_VALUE"""),"ПК")</f>
        <v>ПК</v>
      </c>
      <c r="E89" s="20" t="str">
        <f ca="1">IFERROR(__xludf.DUMMYFUNCTION("""COMPUTED_VALUE"""),"копия")</f>
        <v>копия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13.5" customHeight="1">
      <c r="A90" s="30">
        <v>84</v>
      </c>
      <c r="B90" s="19" t="str">
        <f ca="1">IFERROR(__xludf.DUMMYFUNCTION("""COMPUTED_VALUE"""),"Ивашева Л.")</f>
        <v>Ивашева Л.</v>
      </c>
      <c r="C90" s="20">
        <f ca="1">IFERROR(__xludf.DUMMYFUNCTION("""COMPUTED_VALUE"""),3.56)</f>
        <v>3.56</v>
      </c>
      <c r="D90" s="6" t="str">
        <f ca="1">IFERROR(__xludf.DUMMYFUNCTION("""COMPUTED_VALUE"""),"ПК")</f>
        <v>ПК</v>
      </c>
      <c r="E90" s="20" t="str">
        <f ca="1">IFERROR(__xludf.DUMMYFUNCTION("""COMPUTED_VALUE"""),"копия")</f>
        <v>копия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13.5" customHeight="1">
      <c r="A91" s="30">
        <v>85</v>
      </c>
      <c r="B91" s="19" t="str">
        <f ca="1">IFERROR(__xludf.DUMMYFUNCTION("""COMPUTED_VALUE"""),"Платто В.")</f>
        <v>Платто В.</v>
      </c>
      <c r="C91" s="23">
        <f ca="1">IFERROR(__xludf.DUMMYFUNCTION("""COMPUTED_VALUE"""),3.56)</f>
        <v>3.56</v>
      </c>
      <c r="D91" s="6" t="str">
        <f ca="1">IFERROR(__xludf.DUMMYFUNCTION("""COMPUTED_VALUE"""),"ПК")</f>
        <v>ПК</v>
      </c>
      <c r="E91" s="20" t="str">
        <f ca="1">IFERROR(__xludf.DUMMYFUNCTION("""COMPUTED_VALUE"""),"копия")</f>
        <v>копия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13.5" customHeight="1">
      <c r="A92" s="30">
        <v>86</v>
      </c>
      <c r="B92" s="19" t="str">
        <f ca="1">IFERROR(__xludf.DUMMYFUNCTION("""COMPUTED_VALUE"""),"Рассыхаева Д. ")</f>
        <v xml:space="preserve">Рассыхаева Д. </v>
      </c>
      <c r="C92" s="23">
        <f ca="1">IFERROR(__xludf.DUMMYFUNCTION("""COMPUTED_VALUE"""),3.55)</f>
        <v>3.55</v>
      </c>
      <c r="D92" s="6" t="str">
        <f ca="1">IFERROR(__xludf.DUMMYFUNCTION("""COMPUTED_VALUE"""),"ПК")</f>
        <v>ПК</v>
      </c>
      <c r="E92" s="20" t="str">
        <f ca="1">IFERROR(__xludf.DUMMYFUNCTION("""COMPUTED_VALUE"""),"копия")</f>
        <v>копия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13.5" customHeight="1">
      <c r="A93" s="30">
        <v>87</v>
      </c>
      <c r="B93" s="19" t="str">
        <f ca="1">IFERROR(__xludf.DUMMYFUNCTION("""COMPUTED_VALUE"""),"Пыльщик О.")</f>
        <v>Пыльщик О.</v>
      </c>
      <c r="C93" s="23">
        <f ca="1">IFERROR(__xludf.DUMMYFUNCTION("""COMPUTED_VALUE"""),3.55)</f>
        <v>3.55</v>
      </c>
      <c r="D93" s="6" t="str">
        <f ca="1">IFERROR(__xludf.DUMMYFUNCTION("""COMPUTED_VALUE"""),"ПК")</f>
        <v>ПК</v>
      </c>
      <c r="E93" s="20" t="str">
        <f ca="1">IFERROR(__xludf.DUMMYFUNCTION("""COMPUTED_VALUE"""),"копия")</f>
        <v>копия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13.5" customHeight="1">
      <c r="A94" s="30">
        <v>88</v>
      </c>
      <c r="B94" s="19" t="str">
        <f ca="1">IFERROR(__xludf.DUMMYFUNCTION("""COMPUTED_VALUE"""),"Малаков Е.")</f>
        <v>Малаков Е.</v>
      </c>
      <c r="C94" s="23">
        <f ca="1">IFERROR(__xludf.DUMMYFUNCTION("""COMPUTED_VALUE"""),3.55)</f>
        <v>3.55</v>
      </c>
      <c r="D94" s="6" t="str">
        <f ca="1">IFERROR(__xludf.DUMMYFUNCTION("""COMPUTED_VALUE"""),"ПК")</f>
        <v>ПК</v>
      </c>
      <c r="E94" s="20" t="str">
        <f ca="1">IFERROR(__xludf.DUMMYFUNCTION("""COMPUTED_VALUE"""),"копия")</f>
        <v>копия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13.5" customHeight="1">
      <c r="A95" s="30">
        <v>89</v>
      </c>
      <c r="B95" s="19" t="str">
        <f ca="1">IFERROR(__xludf.DUMMYFUNCTION("""COMPUTED_VALUE"""),"Митяшина Д.")</f>
        <v>Митяшина Д.</v>
      </c>
      <c r="C95" s="20">
        <f ca="1">IFERROR(__xludf.DUMMYFUNCTION("""COMPUTED_VALUE"""),3.53)</f>
        <v>3.53</v>
      </c>
      <c r="D95" s="6" t="str">
        <f ca="1">IFERROR(__xludf.DUMMYFUNCTION("""COMPUTED_VALUE"""),"ПК")</f>
        <v>ПК</v>
      </c>
      <c r="E95" s="20" t="str">
        <f ca="1">IFERROR(__xludf.DUMMYFUNCTION("""COMPUTED_VALUE"""),"копия")</f>
        <v>копия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13.5" customHeight="1">
      <c r="A96" s="30">
        <v>90</v>
      </c>
      <c r="B96" s="19" t="str">
        <f ca="1">IFERROR(__xludf.DUMMYFUNCTION("""COMPUTED_VALUE"""),"Некрасова Ф")</f>
        <v>Некрасова Ф</v>
      </c>
      <c r="C96" s="20">
        <f ca="1">IFERROR(__xludf.DUMMYFUNCTION("""COMPUTED_VALUE"""),3.53)</f>
        <v>3.53</v>
      </c>
      <c r="D96" s="6" t="str">
        <f ca="1">IFERROR(__xludf.DUMMYFUNCTION("""COMPUTED_VALUE"""),"ПК")</f>
        <v>ПК</v>
      </c>
      <c r="E96" s="20" t="str">
        <f ca="1">IFERROR(__xludf.DUMMYFUNCTION("""COMPUTED_VALUE"""),"оригинал")</f>
        <v>оригинал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13.5" customHeight="1">
      <c r="A97" s="30">
        <v>91</v>
      </c>
      <c r="B97" s="19" t="str">
        <f ca="1">IFERROR(__xludf.DUMMYFUNCTION("""COMPUTED_VALUE"""),"Мухамедов К.")</f>
        <v>Мухамедов К.</v>
      </c>
      <c r="C97" s="20">
        <f ca="1">IFERROR(__xludf.DUMMYFUNCTION("""COMPUTED_VALUE"""),3.53)</f>
        <v>3.53</v>
      </c>
      <c r="D97" s="6" t="str">
        <f ca="1">IFERROR(__xludf.DUMMYFUNCTION("""COMPUTED_VALUE"""),"ПК")</f>
        <v>ПК</v>
      </c>
      <c r="E97" s="20" t="str">
        <f ca="1">IFERROR(__xludf.DUMMYFUNCTION("""COMPUTED_VALUE"""),"копия")</f>
        <v>копия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13.5" customHeight="1">
      <c r="A98" s="30">
        <v>92</v>
      </c>
      <c r="B98" s="19" t="str">
        <f ca="1">IFERROR(__xludf.DUMMYFUNCTION("""COMPUTED_VALUE"""),"Калтайс А. ")</f>
        <v xml:space="preserve">Калтайс А. </v>
      </c>
      <c r="C98" s="23">
        <f ca="1">IFERROR(__xludf.DUMMYFUNCTION("""COMPUTED_VALUE"""),3.53)</f>
        <v>3.53</v>
      </c>
      <c r="D98" s="6" t="str">
        <f ca="1">IFERROR(__xludf.DUMMYFUNCTION("""COMPUTED_VALUE"""),"ПК")</f>
        <v>ПК</v>
      </c>
      <c r="E98" s="20" t="str">
        <f ca="1">IFERROR(__xludf.DUMMYFUNCTION("""COMPUTED_VALUE"""),"копия")</f>
        <v>копия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13.5" customHeight="1">
      <c r="A99" s="30">
        <v>93</v>
      </c>
      <c r="B99" s="19" t="str">
        <f ca="1">IFERROR(__xludf.DUMMYFUNCTION("""COMPUTED_VALUE"""),"Митяшина Д. Н.")</f>
        <v>Митяшина Д. Н.</v>
      </c>
      <c r="C99" s="22">
        <f ca="1">IFERROR(__xludf.DUMMYFUNCTION("""COMPUTED_VALUE"""),3.53)</f>
        <v>3.53</v>
      </c>
      <c r="D99" s="6" t="str">
        <f ca="1">IFERROR(__xludf.DUMMYFUNCTION("""COMPUTED_VALUE"""),"ПК")</f>
        <v>ПК</v>
      </c>
      <c r="E99" s="20" t="str">
        <f ca="1">IFERROR(__xludf.DUMMYFUNCTION("""COMPUTED_VALUE"""),"оригинал")</f>
        <v>оригинал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13.5" customHeight="1">
      <c r="A100" s="30">
        <v>94</v>
      </c>
      <c r="B100" s="19" t="str">
        <f ca="1">IFERROR(__xludf.DUMMYFUNCTION("""COMPUTED_VALUE"""),"Рассыхаева К. ")</f>
        <v xml:space="preserve">Рассыхаева К. </v>
      </c>
      <c r="C100" s="23">
        <f ca="1">IFERROR(__xludf.DUMMYFUNCTION("""COMPUTED_VALUE"""),3.52)</f>
        <v>3.52</v>
      </c>
      <c r="D100" s="6" t="str">
        <f ca="1">IFERROR(__xludf.DUMMYFUNCTION("""COMPUTED_VALUE"""),"ПК")</f>
        <v>ПК</v>
      </c>
      <c r="E100" s="20" t="str">
        <f ca="1">IFERROR(__xludf.DUMMYFUNCTION("""COMPUTED_VALUE"""),"копия")</f>
        <v>копия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13.5" customHeight="1">
      <c r="A101" s="30">
        <v>95</v>
      </c>
      <c r="B101" s="19" t="str">
        <f ca="1">IFERROR(__xludf.DUMMYFUNCTION("""COMPUTED_VALUE"""),"Терентьева М.")</f>
        <v>Терентьева М.</v>
      </c>
      <c r="C101" s="20">
        <f ca="1">IFERROR(__xludf.DUMMYFUNCTION("""COMPUTED_VALUE"""),3.5)</f>
        <v>3.5</v>
      </c>
      <c r="D101" s="6" t="str">
        <f ca="1">IFERROR(__xludf.DUMMYFUNCTION("""COMPUTED_VALUE"""),"ПК")</f>
        <v>ПК</v>
      </c>
      <c r="E101" s="20" t="str">
        <f ca="1">IFERROR(__xludf.DUMMYFUNCTION("""COMPUTED_VALUE"""),"копия")</f>
        <v>копия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13.5" customHeight="1">
      <c r="A102" s="30">
        <v>96</v>
      </c>
      <c r="B102" s="19" t="str">
        <f ca="1">IFERROR(__xludf.DUMMYFUNCTION("""COMPUTED_VALUE"""),"Кириллова С.")</f>
        <v>Кириллова С.</v>
      </c>
      <c r="C102" s="20">
        <f ca="1">IFERROR(__xludf.DUMMYFUNCTION("""COMPUTED_VALUE"""),3.5)</f>
        <v>3.5</v>
      </c>
      <c r="D102" s="6" t="str">
        <f ca="1">IFERROR(__xludf.DUMMYFUNCTION("""COMPUTED_VALUE"""),"ПК")</f>
        <v>ПК</v>
      </c>
      <c r="E102" s="20" t="str">
        <f ca="1">IFERROR(__xludf.DUMMYFUNCTION("""COMPUTED_VALUE"""),"копия")</f>
        <v>копия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13.5" customHeight="1">
      <c r="A103" s="30">
        <v>97</v>
      </c>
      <c r="B103" s="19" t="str">
        <f ca="1">IFERROR(__xludf.DUMMYFUNCTION("""COMPUTED_VALUE"""),"Шпулинг А. ")</f>
        <v xml:space="preserve">Шпулинг А. </v>
      </c>
      <c r="C103" s="23">
        <f ca="1">IFERROR(__xludf.DUMMYFUNCTION("""COMPUTED_VALUE"""),3.5)</f>
        <v>3.5</v>
      </c>
      <c r="D103" s="6" t="str">
        <f ca="1">IFERROR(__xludf.DUMMYFUNCTION("""COMPUTED_VALUE"""),"ПК")</f>
        <v>ПК</v>
      </c>
      <c r="E103" s="20" t="str">
        <f ca="1">IFERROR(__xludf.DUMMYFUNCTION("""COMPUTED_VALUE"""),"копия")</f>
        <v>копия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13.5" customHeight="1">
      <c r="A104" s="30">
        <v>98</v>
      </c>
      <c r="B104" s="19" t="str">
        <f ca="1">IFERROR(__xludf.DUMMYFUNCTION("""COMPUTED_VALUE"""),"Ипатов Д. М.")</f>
        <v>Ипатов Д. М.</v>
      </c>
      <c r="C104" s="23">
        <f ca="1">IFERROR(__xludf.DUMMYFUNCTION("""COMPUTED_VALUE"""),3.5)</f>
        <v>3.5</v>
      </c>
      <c r="D104" s="6" t="str">
        <f ca="1">IFERROR(__xludf.DUMMYFUNCTION("""COMPUTED_VALUE"""),"ПК")</f>
        <v>ПК</v>
      </c>
      <c r="E104" s="20" t="str">
        <f ca="1">IFERROR(__xludf.DUMMYFUNCTION("""COMPUTED_VALUE"""),"копия")</f>
        <v>копия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13.5" customHeight="1">
      <c r="A105" s="30">
        <v>99</v>
      </c>
      <c r="B105" s="19" t="str">
        <f ca="1">IFERROR(__xludf.DUMMYFUNCTION("""COMPUTED_VALUE"""),"Разумова Е.")</f>
        <v>Разумова Е.</v>
      </c>
      <c r="C105" s="23">
        <f ca="1">IFERROR(__xludf.DUMMYFUNCTION("""COMPUTED_VALUE"""),3.48)</f>
        <v>3.48</v>
      </c>
      <c r="D105" s="6" t="str">
        <f ca="1">IFERROR(__xludf.DUMMYFUNCTION("""COMPUTED_VALUE"""),"ПК")</f>
        <v>ПК</v>
      </c>
      <c r="E105" s="20" t="str">
        <f ca="1">IFERROR(__xludf.DUMMYFUNCTION("""COMPUTED_VALUE"""),"копия")</f>
        <v>копия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13.5" customHeight="1">
      <c r="A106" s="30">
        <v>100</v>
      </c>
      <c r="B106" s="19" t="str">
        <f ca="1">IFERROR(__xludf.DUMMYFUNCTION("""COMPUTED_VALUE"""),"Кочанова Н. ")</f>
        <v xml:space="preserve">Кочанова Н. </v>
      </c>
      <c r="C106" s="23">
        <f ca="1">IFERROR(__xludf.DUMMYFUNCTION("""COMPUTED_VALUE"""),3.47)</f>
        <v>3.47</v>
      </c>
      <c r="D106" s="6" t="str">
        <f ca="1">IFERROR(__xludf.DUMMYFUNCTION("""COMPUTED_VALUE"""),"ПК")</f>
        <v>ПК</v>
      </c>
      <c r="E106" s="20" t="str">
        <f ca="1">IFERROR(__xludf.DUMMYFUNCTION("""COMPUTED_VALUE"""),"копия")</f>
        <v>копия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13.5" customHeight="1">
      <c r="A107" s="30">
        <v>101</v>
      </c>
      <c r="B107" s="19" t="str">
        <f ca="1">IFERROR(__xludf.DUMMYFUNCTION("""COMPUTED_VALUE"""),"Протасова В.")</f>
        <v>Протасова В.</v>
      </c>
      <c r="C107" s="23">
        <f ca="1">IFERROR(__xludf.DUMMYFUNCTION("""COMPUTED_VALUE"""),3.47)</f>
        <v>3.47</v>
      </c>
      <c r="D107" s="6" t="str">
        <f ca="1">IFERROR(__xludf.DUMMYFUNCTION("""COMPUTED_VALUE"""),"ПК")</f>
        <v>ПК</v>
      </c>
      <c r="E107" s="20" t="str">
        <f ca="1">IFERROR(__xludf.DUMMYFUNCTION("""COMPUTED_VALUE"""),"копия")</f>
        <v>копия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13.5" customHeight="1">
      <c r="A108" s="30">
        <v>102</v>
      </c>
      <c r="B108" s="19" t="str">
        <f ca="1">IFERROR(__xludf.DUMMYFUNCTION("""COMPUTED_VALUE"""),"Матиенко А.")</f>
        <v>Матиенко А.</v>
      </c>
      <c r="C108" s="23">
        <f ca="1">IFERROR(__xludf.DUMMYFUNCTION("""COMPUTED_VALUE"""),3.47)</f>
        <v>3.47</v>
      </c>
      <c r="D108" s="6" t="str">
        <f ca="1">IFERROR(__xludf.DUMMYFUNCTION("""COMPUTED_VALUE"""),"ПК")</f>
        <v>ПК</v>
      </c>
      <c r="E108" s="20" t="str">
        <f ca="1">IFERROR(__xludf.DUMMYFUNCTION("""COMPUTED_VALUE"""),"копия")</f>
        <v>копия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13.5" customHeight="1">
      <c r="A109" s="30">
        <v>103</v>
      </c>
      <c r="B109" s="19" t="str">
        <f ca="1">IFERROR(__xludf.DUMMYFUNCTION("""COMPUTED_VALUE"""),"Жижева Е.")</f>
        <v>Жижева Е.</v>
      </c>
      <c r="C109" s="20">
        <f ca="1">IFERROR(__xludf.DUMMYFUNCTION("""COMPUTED_VALUE"""),3.47)</f>
        <v>3.47</v>
      </c>
      <c r="D109" s="6" t="str">
        <f ca="1">IFERROR(__xludf.DUMMYFUNCTION("""COMPUTED_VALUE"""),"ПК")</f>
        <v>ПК</v>
      </c>
      <c r="E109" s="20" t="str">
        <f ca="1">IFERROR(__xludf.DUMMYFUNCTION("""COMPUTED_VALUE"""),"копия")</f>
        <v>копия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13.5" customHeight="1">
      <c r="A110" s="30">
        <v>104</v>
      </c>
      <c r="B110" s="19" t="str">
        <f ca="1">IFERROR(__xludf.DUMMYFUNCTION("""COMPUTED_VALUE"""),"Цуманкова А. ")</f>
        <v xml:space="preserve">Цуманкова А. </v>
      </c>
      <c r="C110" s="20">
        <f ca="1">IFERROR(__xludf.DUMMYFUNCTION("""COMPUTED_VALUE"""),3.47)</f>
        <v>3.47</v>
      </c>
      <c r="D110" s="6" t="str">
        <f ca="1">IFERROR(__xludf.DUMMYFUNCTION("""COMPUTED_VALUE"""),"ПК")</f>
        <v>ПК</v>
      </c>
      <c r="E110" s="20" t="str">
        <f ca="1">IFERROR(__xludf.DUMMYFUNCTION("""COMPUTED_VALUE"""),"копия")</f>
        <v>копия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13.5" customHeight="1">
      <c r="A111" s="30">
        <v>105</v>
      </c>
      <c r="B111" s="19" t="str">
        <f ca="1">IFERROR(__xludf.DUMMYFUNCTION("""COMPUTED_VALUE"""),"Шевелева Я.")</f>
        <v>Шевелева Я.</v>
      </c>
      <c r="C111" s="20">
        <f ca="1">IFERROR(__xludf.DUMMYFUNCTION("""COMPUTED_VALUE"""),3.45)</f>
        <v>3.45</v>
      </c>
      <c r="D111" s="6" t="str">
        <f ca="1">IFERROR(__xludf.DUMMYFUNCTION("""COMPUTED_VALUE"""),"ПК")</f>
        <v>ПК</v>
      </c>
      <c r="E111" s="20" t="str">
        <f ca="1">IFERROR(__xludf.DUMMYFUNCTION("""COMPUTED_VALUE"""),"копия")</f>
        <v>копия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13.5" customHeight="1">
      <c r="A112" s="30">
        <v>106</v>
      </c>
      <c r="B112" s="19" t="str">
        <f ca="1">IFERROR(__xludf.DUMMYFUNCTION("""COMPUTED_VALUE"""),"Каменцева С.")</f>
        <v>Каменцева С.</v>
      </c>
      <c r="C112" s="20">
        <f ca="1">IFERROR(__xludf.DUMMYFUNCTION("""COMPUTED_VALUE"""),3.44)</f>
        <v>3.44</v>
      </c>
      <c r="D112" s="6" t="str">
        <f ca="1">IFERROR(__xludf.DUMMYFUNCTION("""COMPUTED_VALUE"""),"ПК")</f>
        <v>ПК</v>
      </c>
      <c r="E112" s="20" t="str">
        <f ca="1">IFERROR(__xludf.DUMMYFUNCTION("""COMPUTED_VALUE"""),"оригинал ")</f>
        <v xml:space="preserve">оригинал 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6" ht="13.5" customHeight="1">
      <c r="A113" s="30">
        <v>107</v>
      </c>
      <c r="B113" s="19" t="str">
        <f ca="1">IFERROR(__xludf.DUMMYFUNCTION("""COMPUTED_VALUE"""),"Антон Е.")</f>
        <v>Антон Е.</v>
      </c>
      <c r="C113" s="20">
        <f ca="1">IFERROR(__xludf.DUMMYFUNCTION("""COMPUTED_VALUE"""),3.44)</f>
        <v>3.44</v>
      </c>
      <c r="D113" s="6" t="str">
        <f ca="1">IFERROR(__xludf.DUMMYFUNCTION("""COMPUTED_VALUE"""),"ПК")</f>
        <v>ПК</v>
      </c>
      <c r="E113" s="20" t="str">
        <f ca="1">IFERROR(__xludf.DUMMYFUNCTION("""COMPUTED_VALUE"""),"оригинал")</f>
        <v>оригинал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6" ht="13.5" customHeight="1">
      <c r="A114" s="30">
        <v>108</v>
      </c>
      <c r="B114" s="19" t="str">
        <f ca="1">IFERROR(__xludf.DUMMYFUNCTION("""COMPUTED_VALUE"""),"Гулынин Д. ")</f>
        <v xml:space="preserve">Гулынин Д. </v>
      </c>
      <c r="C114" s="20">
        <f ca="1">IFERROR(__xludf.DUMMYFUNCTION("""COMPUTED_VALUE"""),3.44)</f>
        <v>3.44</v>
      </c>
      <c r="D114" s="6" t="str">
        <f ca="1">IFERROR(__xludf.DUMMYFUNCTION("""COMPUTED_VALUE"""),"ПК")</f>
        <v>ПК</v>
      </c>
      <c r="E114" s="20" t="str">
        <f ca="1">IFERROR(__xludf.DUMMYFUNCTION("""COMPUTED_VALUE"""),"копия")</f>
        <v>копия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6" ht="13.5" customHeight="1">
      <c r="A115" s="30">
        <v>109</v>
      </c>
      <c r="B115" s="19" t="str">
        <f ca="1">IFERROR(__xludf.DUMMYFUNCTION("""COMPUTED_VALUE"""),"Супрядкина И.")</f>
        <v>Супрядкина И.</v>
      </c>
      <c r="C115" s="20">
        <f ca="1">IFERROR(__xludf.DUMMYFUNCTION("""COMPUTED_VALUE"""),3.44)</f>
        <v>3.44</v>
      </c>
      <c r="D115" s="6" t="str">
        <f ca="1">IFERROR(__xludf.DUMMYFUNCTION("""COMPUTED_VALUE"""),"ПК")</f>
        <v>ПК</v>
      </c>
      <c r="E115" s="20" t="str">
        <f ca="1">IFERROR(__xludf.DUMMYFUNCTION("""COMPUTED_VALUE"""),"копия")</f>
        <v>копия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6" ht="13.5" customHeight="1">
      <c r="A116" s="30">
        <v>110</v>
      </c>
      <c r="B116" s="19" t="str">
        <f ca="1">IFERROR(__xludf.DUMMYFUNCTION("""COMPUTED_VALUE"""),"Крутова А. ")</f>
        <v xml:space="preserve">Крутова А. </v>
      </c>
      <c r="C116" s="20">
        <f ca="1">IFERROR(__xludf.DUMMYFUNCTION("""COMPUTED_VALUE"""),3.44)</f>
        <v>3.44</v>
      </c>
      <c r="D116" s="6" t="str">
        <f ca="1">IFERROR(__xludf.DUMMYFUNCTION("""COMPUTED_VALUE"""),"ПК")</f>
        <v>ПК</v>
      </c>
      <c r="E116" s="20" t="str">
        <f ca="1">IFERROR(__xludf.DUMMYFUNCTION("""COMPUTED_VALUE"""),"копия")</f>
        <v>копия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6" ht="13.5" customHeight="1">
      <c r="A117" s="30">
        <v>111</v>
      </c>
      <c r="B117" s="19" t="str">
        <f ca="1">IFERROR(__xludf.DUMMYFUNCTION("""COMPUTED_VALUE"""),"Попова В.А.")</f>
        <v>Попова В.А.</v>
      </c>
      <c r="C117" s="22">
        <f ca="1">IFERROR(__xludf.DUMMYFUNCTION("""COMPUTED_VALUE"""),3.44)</f>
        <v>3.44</v>
      </c>
      <c r="D117" s="6" t="str">
        <f ca="1">IFERROR(__xludf.DUMMYFUNCTION("""COMPUTED_VALUE"""),"ПК")</f>
        <v>ПК</v>
      </c>
      <c r="E117" s="20" t="str">
        <f ca="1">IFERROR(__xludf.DUMMYFUNCTION("""COMPUTED_VALUE"""),"копия")</f>
        <v>копия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6" ht="13.5" customHeight="1">
      <c r="A118" s="30">
        <v>112</v>
      </c>
      <c r="B118" s="19" t="str">
        <f ca="1">IFERROR(__xludf.DUMMYFUNCTION("""COMPUTED_VALUE"""),"Честных М.")</f>
        <v>Честных М.</v>
      </c>
      <c r="C118" s="20">
        <f ca="1">IFERROR(__xludf.DUMMYFUNCTION("""COMPUTED_VALUE"""),3.43)</f>
        <v>3.43</v>
      </c>
      <c r="D118" s="6" t="str">
        <f ca="1">IFERROR(__xludf.DUMMYFUNCTION("""COMPUTED_VALUE"""),"ПК")</f>
        <v>ПК</v>
      </c>
      <c r="E118" s="20" t="str">
        <f ca="1">IFERROR(__xludf.DUMMYFUNCTION("""COMPUTED_VALUE"""),"копия")</f>
        <v>копия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6" ht="13.5" customHeight="1">
      <c r="A119" s="30">
        <v>113</v>
      </c>
      <c r="B119" s="19" t="str">
        <f ca="1">IFERROR(__xludf.DUMMYFUNCTION("""COMPUTED_VALUE"""),"Вахнина А.  ")</f>
        <v xml:space="preserve">Вахнина А.  </v>
      </c>
      <c r="C119" s="20">
        <f ca="1">IFERROR(__xludf.DUMMYFUNCTION("""COMPUTED_VALUE"""),3.42)</f>
        <v>3.42</v>
      </c>
      <c r="D119" s="6" t="str">
        <f ca="1">IFERROR(__xludf.DUMMYFUNCTION("""COMPUTED_VALUE"""),"ПК")</f>
        <v>ПК</v>
      </c>
      <c r="E119" s="20" t="str">
        <f ca="1">IFERROR(__xludf.DUMMYFUNCTION("""COMPUTED_VALUE"""),"копия")</f>
        <v>копия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6" ht="13.5" customHeight="1">
      <c r="A120" s="30">
        <v>114</v>
      </c>
      <c r="B120" s="19" t="str">
        <f ca="1">IFERROR(__xludf.DUMMYFUNCTION("""COMPUTED_VALUE"""),"Попова К ")</f>
        <v xml:space="preserve">Попова К </v>
      </c>
      <c r="C120" s="20">
        <f ca="1">IFERROR(__xludf.DUMMYFUNCTION("""COMPUTED_VALUE"""),3.42)</f>
        <v>3.42</v>
      </c>
      <c r="D120" s="6" t="str">
        <f ca="1">IFERROR(__xludf.DUMMYFUNCTION("""COMPUTED_VALUE"""),"ПК")</f>
        <v>ПК</v>
      </c>
      <c r="E120" s="20" t="str">
        <f ca="1">IFERROR(__xludf.DUMMYFUNCTION("""COMPUTED_VALUE"""),"оригинал")</f>
        <v>оригинал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6" ht="13.5" customHeight="1">
      <c r="A121" s="30">
        <v>115</v>
      </c>
      <c r="B121" s="19" t="str">
        <f ca="1">IFERROR(__xludf.DUMMYFUNCTION("""COMPUTED_VALUE"""),"Попов Р. ")</f>
        <v xml:space="preserve">Попов Р. </v>
      </c>
      <c r="C121" s="20">
        <f ca="1">IFERROR(__xludf.DUMMYFUNCTION("""COMPUTED_VALUE"""),3.42)</f>
        <v>3.42</v>
      </c>
      <c r="D121" s="6" t="str">
        <f ca="1">IFERROR(__xludf.DUMMYFUNCTION("""COMPUTED_VALUE"""),"ПК")</f>
        <v>ПК</v>
      </c>
      <c r="E121" s="20" t="str">
        <f ca="1">IFERROR(__xludf.DUMMYFUNCTION("""COMPUTED_VALUE"""),"копия")</f>
        <v>копия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6" ht="13.5" customHeight="1">
      <c r="A122" s="30">
        <v>116</v>
      </c>
      <c r="B122" s="19" t="str">
        <f ca="1">IFERROR(__xludf.DUMMYFUNCTION("""COMPUTED_VALUE"""),"Колипова А.")</f>
        <v>Колипова А.</v>
      </c>
      <c r="C122" s="23">
        <f ca="1">IFERROR(__xludf.DUMMYFUNCTION("""COMPUTED_VALUE"""),3.42)</f>
        <v>3.42</v>
      </c>
      <c r="D122" s="6" t="str">
        <f ca="1">IFERROR(__xludf.DUMMYFUNCTION("""COMPUTED_VALUE"""),"ПК")</f>
        <v>ПК</v>
      </c>
      <c r="E122" s="20" t="str">
        <f ca="1">IFERROR(__xludf.DUMMYFUNCTION("""COMPUTED_VALUE"""),"копия")</f>
        <v>копия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6" ht="13.5" customHeight="1">
      <c r="A123" s="30">
        <v>117</v>
      </c>
      <c r="B123" s="19" t="str">
        <f ca="1">IFERROR(__xludf.DUMMYFUNCTION("""COMPUTED_VALUE"""),"Говорова Е.")</f>
        <v>Говорова Е.</v>
      </c>
      <c r="C123" s="20">
        <f ca="1">IFERROR(__xludf.DUMMYFUNCTION("""COMPUTED_VALUE"""),3.42)</f>
        <v>3.42</v>
      </c>
      <c r="D123" s="6" t="str">
        <f ca="1">IFERROR(__xludf.DUMMYFUNCTION("""COMPUTED_VALUE"""),"ПК")</f>
        <v>ПК</v>
      </c>
      <c r="E123" s="20" t="str">
        <f ca="1">IFERROR(__xludf.DUMMYFUNCTION("""COMPUTED_VALUE"""),"копия")</f>
        <v>копия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6" ht="13.5" customHeight="1">
      <c r="A124" s="30">
        <v>118</v>
      </c>
      <c r="B124" s="19" t="str">
        <f ca="1">IFERROR(__xludf.DUMMYFUNCTION("""COMPUTED_VALUE"""),"Федосова А. ")</f>
        <v xml:space="preserve">Федосова А. </v>
      </c>
      <c r="C124" s="23">
        <f ca="1">IFERROR(__xludf.DUMMYFUNCTION("""COMPUTED_VALUE"""),3.42)</f>
        <v>3.42</v>
      </c>
      <c r="D124" s="6" t="str">
        <f ca="1">IFERROR(__xludf.DUMMYFUNCTION("""COMPUTED_VALUE"""),"ПК")</f>
        <v>ПК</v>
      </c>
      <c r="E124" s="20" t="str">
        <f ca="1">IFERROR(__xludf.DUMMYFUNCTION("""COMPUTED_VALUE"""),"копия")</f>
        <v>копия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6" ht="13.5" customHeight="1">
      <c r="A125" s="30">
        <v>119</v>
      </c>
      <c r="B125" s="19" t="str">
        <f ca="1">IFERROR(__xludf.DUMMYFUNCTION("""COMPUTED_VALUE"""),"Чурсина Е. ")</f>
        <v xml:space="preserve">Чурсина Е. </v>
      </c>
      <c r="C125" s="20">
        <f ca="1">IFERROR(__xludf.DUMMYFUNCTION("""COMPUTED_VALUE"""),3.4)</f>
        <v>3.4</v>
      </c>
      <c r="D125" s="6" t="str">
        <f ca="1">IFERROR(__xludf.DUMMYFUNCTION("""COMPUTED_VALUE"""),"ПК")</f>
        <v>ПК</v>
      </c>
      <c r="E125" s="20" t="str">
        <f ca="1">IFERROR(__xludf.DUMMYFUNCTION("""COMPUTED_VALUE"""),"копия")</f>
        <v>копия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6" ht="13.5" customHeight="1">
      <c r="A126" s="30">
        <v>120</v>
      </c>
      <c r="B126" s="19" t="str">
        <f ca="1">IFERROR(__xludf.DUMMYFUNCTION("""COMPUTED_VALUE"""),"Кожевина Л.")</f>
        <v>Кожевина Л.</v>
      </c>
      <c r="C126" s="20">
        <f ca="1">IFERROR(__xludf.DUMMYFUNCTION("""COMPUTED_VALUE"""),3.4)</f>
        <v>3.4</v>
      </c>
      <c r="D126" s="6" t="str">
        <f ca="1">IFERROR(__xludf.DUMMYFUNCTION("""COMPUTED_VALUE"""),"ПК")</f>
        <v>ПК</v>
      </c>
      <c r="E126" s="20" t="str">
        <f ca="1">IFERROR(__xludf.DUMMYFUNCTION("""COMPUTED_VALUE"""),"копия")</f>
        <v>копия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6" ht="13.5" customHeight="1">
      <c r="A127" s="30">
        <v>121</v>
      </c>
      <c r="B127" s="19" t="str">
        <f ca="1">IFERROR(__xludf.DUMMYFUNCTION("""COMPUTED_VALUE"""),"Косова М")</f>
        <v>Косова М</v>
      </c>
      <c r="C127" s="20">
        <f ca="1">IFERROR(__xludf.DUMMYFUNCTION("""COMPUTED_VALUE"""),3.39)</f>
        <v>3.39</v>
      </c>
      <c r="D127" s="6" t="str">
        <f ca="1">IFERROR(__xludf.DUMMYFUNCTION("""COMPUTED_VALUE"""),"ПК")</f>
        <v>ПК</v>
      </c>
      <c r="E127" s="20" t="str">
        <f ca="1">IFERROR(__xludf.DUMMYFUNCTION("""COMPUTED_VALUE"""),"копия")</f>
        <v>копия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6" ht="13.5" customHeight="1">
      <c r="A128" s="30">
        <v>122</v>
      </c>
      <c r="B128" s="19" t="str">
        <f ca="1">IFERROR(__xludf.DUMMYFUNCTION("""COMPUTED_VALUE"""),"Тимушева А.")</f>
        <v>Тимушева А.</v>
      </c>
      <c r="C128" s="20">
        <f ca="1">IFERROR(__xludf.DUMMYFUNCTION("""COMPUTED_VALUE"""),3.38)</f>
        <v>3.38</v>
      </c>
      <c r="D128" s="6" t="str">
        <f ca="1">IFERROR(__xludf.DUMMYFUNCTION("""COMPUTED_VALUE"""),"ПК")</f>
        <v>ПК</v>
      </c>
      <c r="E128" s="20" t="str">
        <f ca="1">IFERROR(__xludf.DUMMYFUNCTION("""COMPUTED_VALUE"""),"копия")</f>
        <v>копия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customHeight="1">
      <c r="A129" s="30">
        <v>123</v>
      </c>
      <c r="B129" s="19" t="str">
        <f ca="1">IFERROR(__xludf.DUMMYFUNCTION("""COMPUTED_VALUE"""),"Лобанова В.")</f>
        <v>Лобанова В.</v>
      </c>
      <c r="C129" s="20">
        <f ca="1">IFERROR(__xludf.DUMMYFUNCTION("""COMPUTED_VALUE"""),3.37)</f>
        <v>3.37</v>
      </c>
      <c r="D129" s="6" t="str">
        <f ca="1">IFERROR(__xludf.DUMMYFUNCTION("""COMPUTED_VALUE"""),"ПК")</f>
        <v>ПК</v>
      </c>
      <c r="E129" s="20" t="str">
        <f ca="1">IFERROR(__xludf.DUMMYFUNCTION("""COMPUTED_VALUE"""),"копия")</f>
        <v>копия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customHeight="1">
      <c r="A130" s="30">
        <v>124</v>
      </c>
      <c r="B130" s="19" t="str">
        <f ca="1">IFERROR(__xludf.DUMMYFUNCTION("""COMPUTED_VALUE"""),"Бурая Д.")</f>
        <v>Бурая Д.</v>
      </c>
      <c r="C130" s="20">
        <f ca="1">IFERROR(__xludf.DUMMYFUNCTION("""COMPUTED_VALUE"""),3.37)</f>
        <v>3.37</v>
      </c>
      <c r="D130" s="6" t="str">
        <f ca="1">IFERROR(__xludf.DUMMYFUNCTION("""COMPUTED_VALUE"""),"ПК")</f>
        <v>ПК</v>
      </c>
      <c r="E130" s="20" t="str">
        <f ca="1">IFERROR(__xludf.DUMMYFUNCTION("""COMPUTED_VALUE"""),"копия")</f>
        <v>копия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customHeight="1">
      <c r="A131" s="30">
        <v>125</v>
      </c>
      <c r="B131" s="19" t="str">
        <f ca="1">IFERROR(__xludf.DUMMYFUNCTION("""COMPUTED_VALUE"""),"Горбаченко М.")</f>
        <v>Горбаченко М.</v>
      </c>
      <c r="C131" s="20">
        <f ca="1">IFERROR(__xludf.DUMMYFUNCTION("""COMPUTED_VALUE"""),3.36)</f>
        <v>3.36</v>
      </c>
      <c r="D131" s="6" t="str">
        <f ca="1">IFERROR(__xludf.DUMMYFUNCTION("""COMPUTED_VALUE"""),"ПК")</f>
        <v>ПК</v>
      </c>
      <c r="E131" s="20" t="str">
        <f ca="1">IFERROR(__xludf.DUMMYFUNCTION("""COMPUTED_VALUE"""),"копия")</f>
        <v>копия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customHeight="1">
      <c r="A132" s="30">
        <v>126</v>
      </c>
      <c r="B132" s="19" t="str">
        <f ca="1">IFERROR(__xludf.DUMMYFUNCTION("""COMPUTED_VALUE"""),"Краснов С. П.")</f>
        <v>Краснов С. П.</v>
      </c>
      <c r="C132" s="22">
        <f ca="1">IFERROR(__xludf.DUMMYFUNCTION("""COMPUTED_VALUE"""),3.36)</f>
        <v>3.36</v>
      </c>
      <c r="D132" s="6" t="str">
        <f ca="1">IFERROR(__xludf.DUMMYFUNCTION("""COMPUTED_VALUE"""),"ПК")</f>
        <v>ПК</v>
      </c>
      <c r="E132" s="20" t="str">
        <f ca="1">IFERROR(__xludf.DUMMYFUNCTION("""COMPUTED_VALUE"""),"копия")</f>
        <v>копия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customHeight="1">
      <c r="A133" s="30">
        <v>127</v>
      </c>
      <c r="B133" s="19" t="str">
        <f ca="1">IFERROR(__xludf.DUMMYFUNCTION("""COMPUTED_VALUE"""),"Мартюшева К.")</f>
        <v>Мартюшева К.</v>
      </c>
      <c r="C133" s="20">
        <f ca="1">IFERROR(__xludf.DUMMYFUNCTION("""COMPUTED_VALUE"""),3.35)</f>
        <v>3.35</v>
      </c>
      <c r="D133" s="6" t="str">
        <f ca="1">IFERROR(__xludf.DUMMYFUNCTION("""COMPUTED_VALUE"""),"ПК")</f>
        <v>ПК</v>
      </c>
      <c r="E133" s="20" t="str">
        <f ca="1">IFERROR(__xludf.DUMMYFUNCTION("""COMPUTED_VALUE"""),"оригинал ")</f>
        <v xml:space="preserve">оригинал 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customHeight="1">
      <c r="A134" s="30">
        <v>128</v>
      </c>
      <c r="B134" s="19" t="str">
        <f ca="1">IFERROR(__xludf.DUMMYFUNCTION("""COMPUTED_VALUE"""),"Понамарева А.")</f>
        <v>Понамарева А.</v>
      </c>
      <c r="C134" s="23">
        <f ca="1">IFERROR(__xludf.DUMMYFUNCTION("""COMPUTED_VALUE"""),3.35)</f>
        <v>3.35</v>
      </c>
      <c r="D134" s="6" t="str">
        <f ca="1">IFERROR(__xludf.DUMMYFUNCTION("""COMPUTED_VALUE"""),"ПК")</f>
        <v>ПК</v>
      </c>
      <c r="E134" s="20" t="str">
        <f ca="1">IFERROR(__xludf.DUMMYFUNCTION("""COMPUTED_VALUE"""),"копия")</f>
        <v>копия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customHeight="1">
      <c r="A135" s="30">
        <v>129</v>
      </c>
      <c r="B135" s="19" t="str">
        <f ca="1">IFERROR(__xludf.DUMMYFUNCTION("""COMPUTED_VALUE"""),"Наймушина Э.")</f>
        <v>Наймушина Э.</v>
      </c>
      <c r="C135" s="23">
        <f ca="1">IFERROR(__xludf.DUMMYFUNCTION("""COMPUTED_VALUE"""),3.34)</f>
        <v>3.34</v>
      </c>
      <c r="D135" s="6" t="str">
        <f ca="1">IFERROR(__xludf.DUMMYFUNCTION("""COMPUTED_VALUE"""),"ПК")</f>
        <v>ПК</v>
      </c>
      <c r="E135" s="20" t="str">
        <f ca="1">IFERROR(__xludf.DUMMYFUNCTION("""COMPUTED_VALUE"""),"оригинал ")</f>
        <v xml:space="preserve">оригинал 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customHeight="1">
      <c r="A136" s="30">
        <v>130</v>
      </c>
      <c r="B136" s="19" t="str">
        <f ca="1">IFERROR(__xludf.DUMMYFUNCTION("""COMPUTED_VALUE"""),"Плёнкина А.В.")</f>
        <v>Плёнкина А.В.</v>
      </c>
      <c r="C136" s="20">
        <f ca="1">IFERROR(__xludf.DUMMYFUNCTION("""COMPUTED_VALUE"""),3.33)</f>
        <v>3.33</v>
      </c>
      <c r="D136" s="6" t="str">
        <f ca="1">IFERROR(__xludf.DUMMYFUNCTION("""COMPUTED_VALUE"""),"ПК")</f>
        <v>ПК</v>
      </c>
      <c r="E136" s="20" t="str">
        <f ca="1">IFERROR(__xludf.DUMMYFUNCTION("""COMPUTED_VALUE"""),"оригинал")</f>
        <v>оригинал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customHeight="1">
      <c r="A137" s="30">
        <v>131</v>
      </c>
      <c r="B137" s="19" t="str">
        <f ca="1">IFERROR(__xludf.DUMMYFUNCTION("""COMPUTED_VALUE"""),"Мымрик В.")</f>
        <v>Мымрик В.</v>
      </c>
      <c r="C137" s="23">
        <f ca="1">IFERROR(__xludf.DUMMYFUNCTION("""COMPUTED_VALUE"""),3.33)</f>
        <v>3.33</v>
      </c>
      <c r="D137" s="6" t="str">
        <f ca="1">IFERROR(__xludf.DUMMYFUNCTION("""COMPUTED_VALUE"""),"ПК")</f>
        <v>ПК</v>
      </c>
      <c r="E137" s="20" t="str">
        <f ca="1">IFERROR(__xludf.DUMMYFUNCTION("""COMPUTED_VALUE"""),"копия")</f>
        <v>копия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customHeight="1">
      <c r="A138" s="30">
        <v>132</v>
      </c>
      <c r="B138" s="19" t="str">
        <f ca="1">IFERROR(__xludf.DUMMYFUNCTION("""COMPUTED_VALUE"""),"Петров А.")</f>
        <v>Петров А.</v>
      </c>
      <c r="C138" s="20">
        <f ca="1">IFERROR(__xludf.DUMMYFUNCTION("""COMPUTED_VALUE"""),3.32)</f>
        <v>3.32</v>
      </c>
      <c r="D138" s="6" t="str">
        <f ca="1">IFERROR(__xludf.DUMMYFUNCTION("""COMPUTED_VALUE"""),"ПК")</f>
        <v>ПК</v>
      </c>
      <c r="E138" s="20" t="str">
        <f ca="1">IFERROR(__xludf.DUMMYFUNCTION("""COMPUTED_VALUE"""),"копия")</f>
        <v>копия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customHeight="1">
      <c r="A139" s="30">
        <v>133</v>
      </c>
      <c r="B139" s="19" t="str">
        <f ca="1">IFERROR(__xludf.DUMMYFUNCTION("""COMPUTED_VALUE"""),"Молокова С.")</f>
        <v>Молокова С.</v>
      </c>
      <c r="C139" s="23">
        <f ca="1">IFERROR(__xludf.DUMMYFUNCTION("""COMPUTED_VALUE"""),3.32)</f>
        <v>3.32</v>
      </c>
      <c r="D139" s="6" t="str">
        <f ca="1">IFERROR(__xludf.DUMMYFUNCTION("""COMPUTED_VALUE"""),"ПК")</f>
        <v>ПК</v>
      </c>
      <c r="E139" s="20" t="str">
        <f ca="1">IFERROR(__xludf.DUMMYFUNCTION("""COMPUTED_VALUE"""),"оригинал ")</f>
        <v xml:space="preserve">оригинал 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customHeight="1">
      <c r="A140" s="30">
        <v>134</v>
      </c>
      <c r="B140" s="19" t="str">
        <f ca="1">IFERROR(__xludf.DUMMYFUNCTION("""COMPUTED_VALUE"""),"Панюков Г.")</f>
        <v>Панюков Г.</v>
      </c>
      <c r="C140" s="19">
        <f ca="1">IFERROR(__xludf.DUMMYFUNCTION("""COMPUTED_VALUE"""),3.32)</f>
        <v>3.32</v>
      </c>
      <c r="D140" s="19" t="str">
        <f ca="1">IFERROR(__xludf.DUMMYFUNCTION("""COMPUTED_VALUE"""),"ПК")</f>
        <v>ПК</v>
      </c>
      <c r="E140" s="19" t="str">
        <f ca="1">IFERROR(__xludf.DUMMYFUNCTION("""COMPUTED_VALUE"""),"копия")</f>
        <v>копия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customHeight="1">
      <c r="A141" s="30">
        <v>135</v>
      </c>
      <c r="B141" s="19" t="str">
        <f ca="1">IFERROR(__xludf.DUMMYFUNCTION("""COMPUTED_VALUE"""),"Пичирига В.")</f>
        <v>Пичирига В.</v>
      </c>
      <c r="C141" s="19">
        <f ca="1">IFERROR(__xludf.DUMMYFUNCTION("""COMPUTED_VALUE"""),3.32)</f>
        <v>3.32</v>
      </c>
      <c r="D141" s="19" t="str">
        <f ca="1">IFERROR(__xludf.DUMMYFUNCTION("""COMPUTED_VALUE"""),"ПК")</f>
        <v>ПК</v>
      </c>
      <c r="E141" s="19" t="str">
        <f ca="1">IFERROR(__xludf.DUMMYFUNCTION("""COMPUTED_VALUE"""),"копия")</f>
        <v>копия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customHeight="1">
      <c r="A142" s="30">
        <v>136</v>
      </c>
      <c r="B142" s="19" t="str">
        <f ca="1">IFERROR(__xludf.DUMMYFUNCTION("""COMPUTED_VALUE"""),"Мальцева В.")</f>
        <v>Мальцева В.</v>
      </c>
      <c r="C142" s="33">
        <f ca="1">IFERROR(__xludf.DUMMYFUNCTION("""COMPUTED_VALUE"""),3.31)</f>
        <v>3.31</v>
      </c>
      <c r="D142" s="19" t="str">
        <f ca="1">IFERROR(__xludf.DUMMYFUNCTION("""COMPUTED_VALUE"""),"ПК")</f>
        <v>ПК</v>
      </c>
      <c r="E142" s="19" t="str">
        <f ca="1">IFERROR(__xludf.DUMMYFUNCTION("""COMPUTED_VALUE"""),"копия")</f>
        <v>копия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customHeight="1">
      <c r="A143" s="30">
        <v>137</v>
      </c>
      <c r="B143" s="19" t="str">
        <f ca="1">IFERROR(__xludf.DUMMYFUNCTION("""COMPUTED_VALUE"""),"Костина В.")</f>
        <v>Костина В.</v>
      </c>
      <c r="C143" s="19">
        <f ca="1">IFERROR(__xludf.DUMMYFUNCTION("""COMPUTED_VALUE"""),3.3)</f>
        <v>3.3</v>
      </c>
      <c r="D143" s="19" t="str">
        <f ca="1">IFERROR(__xludf.DUMMYFUNCTION("""COMPUTED_VALUE"""),"ПК")</f>
        <v>ПК</v>
      </c>
      <c r="E143" s="19" t="str">
        <f ca="1">IFERROR(__xludf.DUMMYFUNCTION("""COMPUTED_VALUE"""),"копия")</f>
        <v>копия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customHeight="1">
      <c r="A144" s="30">
        <v>138</v>
      </c>
      <c r="B144" s="19" t="str">
        <f ca="1">IFERROR(__xludf.DUMMYFUNCTION("""COMPUTED_VALUE"""),"Шиликовская Г.")</f>
        <v>Шиликовская Г.</v>
      </c>
      <c r="C144" s="19">
        <f ca="1">IFERROR(__xludf.DUMMYFUNCTION("""COMPUTED_VALUE"""),3.3)</f>
        <v>3.3</v>
      </c>
      <c r="D144" s="19" t="str">
        <f ca="1">IFERROR(__xludf.DUMMYFUNCTION("""COMPUTED_VALUE"""),"ПК")</f>
        <v>ПК</v>
      </c>
      <c r="E144" s="19" t="str">
        <f ca="1">IFERROR(__xludf.DUMMYFUNCTION("""COMPUTED_VALUE"""),"оригинал")</f>
        <v>оригинал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customHeight="1">
      <c r="A145" s="30">
        <v>139</v>
      </c>
      <c r="B145" s="19" t="str">
        <f ca="1">IFERROR(__xludf.DUMMYFUNCTION("""COMPUTED_VALUE"""),"Старцева В.")</f>
        <v>Старцева В.</v>
      </c>
      <c r="C145" s="19">
        <f ca="1">IFERROR(__xludf.DUMMYFUNCTION("""COMPUTED_VALUE"""),3.29)</f>
        <v>3.29</v>
      </c>
      <c r="D145" s="19" t="str">
        <f ca="1">IFERROR(__xludf.DUMMYFUNCTION("""COMPUTED_VALUE"""),"ПК")</f>
        <v>ПК</v>
      </c>
      <c r="E145" s="19" t="str">
        <f ca="1">IFERROR(__xludf.DUMMYFUNCTION("""COMPUTED_VALUE"""),"оригинал")</f>
        <v>оригинал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customHeight="1">
      <c r="A146" s="30">
        <v>140</v>
      </c>
      <c r="B146" s="19" t="str">
        <f ca="1">IFERROR(__xludf.DUMMYFUNCTION("""COMPUTED_VALUE"""),"Гаранин И.")</f>
        <v>Гаранин И.</v>
      </c>
      <c r="C146" s="19">
        <f ca="1">IFERROR(__xludf.DUMMYFUNCTION("""COMPUTED_VALUE"""),3.29)</f>
        <v>3.29</v>
      </c>
      <c r="D146" s="19" t="str">
        <f ca="1">IFERROR(__xludf.DUMMYFUNCTION("""COMPUTED_VALUE"""),"ПК")</f>
        <v>ПК</v>
      </c>
      <c r="E146" s="19" t="str">
        <f ca="1">IFERROR(__xludf.DUMMYFUNCTION("""COMPUTED_VALUE"""),"копия")</f>
        <v>копия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customHeight="1">
      <c r="A147" s="30">
        <v>141</v>
      </c>
      <c r="B147" s="19" t="str">
        <f ca="1">IFERROR(__xludf.DUMMYFUNCTION("""COMPUTED_VALUE"""),"Бончковский Д.")</f>
        <v>Бончковский Д.</v>
      </c>
      <c r="C147" s="19">
        <f ca="1">IFERROR(__xludf.DUMMYFUNCTION("""COMPUTED_VALUE"""),3.28)</f>
        <v>3.28</v>
      </c>
      <c r="D147" s="19" t="str">
        <f ca="1">IFERROR(__xludf.DUMMYFUNCTION("""COMPUTED_VALUE"""),"ПК")</f>
        <v>ПК</v>
      </c>
      <c r="E147" s="19" t="str">
        <f ca="1">IFERROR(__xludf.DUMMYFUNCTION("""COMPUTED_VALUE"""),"копия")</f>
        <v>копия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customHeight="1">
      <c r="A148" s="30">
        <v>142</v>
      </c>
      <c r="B148" s="19" t="str">
        <f ca="1">IFERROR(__xludf.DUMMYFUNCTION("""COMPUTED_VALUE"""),"Кожуховская О.")</f>
        <v>Кожуховская О.</v>
      </c>
      <c r="C148" s="19">
        <f ca="1">IFERROR(__xludf.DUMMYFUNCTION("""COMPUTED_VALUE"""),3.28)</f>
        <v>3.28</v>
      </c>
      <c r="D148" s="19" t="str">
        <f ca="1">IFERROR(__xludf.DUMMYFUNCTION("""COMPUTED_VALUE"""),"ПК")</f>
        <v>ПК</v>
      </c>
      <c r="E148" s="19" t="str">
        <f ca="1">IFERROR(__xludf.DUMMYFUNCTION("""COMPUTED_VALUE"""),"копия")</f>
        <v>копия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customHeight="1">
      <c r="A149" s="30">
        <v>143</v>
      </c>
      <c r="B149" s="19" t="str">
        <f ca="1">IFERROR(__xludf.DUMMYFUNCTION("""COMPUTED_VALUE"""),"Кузнецова Э.")</f>
        <v>Кузнецова Э.</v>
      </c>
      <c r="C149" s="33">
        <f ca="1">IFERROR(__xludf.DUMMYFUNCTION("""COMPUTED_VALUE"""),3.26)</f>
        <v>3.26</v>
      </c>
      <c r="D149" s="19" t="str">
        <f ca="1">IFERROR(__xludf.DUMMYFUNCTION("""COMPUTED_VALUE"""),"ПК")</f>
        <v>ПК</v>
      </c>
      <c r="E149" s="19" t="str">
        <f ca="1">IFERROR(__xludf.DUMMYFUNCTION("""COMPUTED_VALUE"""),"оригинал")</f>
        <v>оригинал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customHeight="1">
      <c r="A150" s="30">
        <v>144</v>
      </c>
      <c r="B150" s="19" t="str">
        <f ca="1">IFERROR(__xludf.DUMMYFUNCTION("""COMPUTED_VALUE"""),"Старцев А.")</f>
        <v>Старцев А.</v>
      </c>
      <c r="C150" s="33">
        <f ca="1">IFERROR(__xludf.DUMMYFUNCTION("""COMPUTED_VALUE"""),3.26)</f>
        <v>3.26</v>
      </c>
      <c r="D150" s="19" t="str">
        <f ca="1">IFERROR(__xludf.DUMMYFUNCTION("""COMPUTED_VALUE"""),"ПК")</f>
        <v>ПК</v>
      </c>
      <c r="E150" s="19" t="str">
        <f ca="1">IFERROR(__xludf.DUMMYFUNCTION("""COMPUTED_VALUE"""),"копия")</f>
        <v>копия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customHeight="1">
      <c r="A151" s="30">
        <v>145</v>
      </c>
      <c r="B151" s="19" t="str">
        <f ca="1">IFERROR(__xludf.DUMMYFUNCTION("""COMPUTED_VALUE"""),"Торлопов А.")</f>
        <v>Торлопов А.</v>
      </c>
      <c r="C151" s="33">
        <f ca="1">IFERROR(__xludf.DUMMYFUNCTION("""COMPUTED_VALUE"""),3.26)</f>
        <v>3.26</v>
      </c>
      <c r="D151" s="19" t="str">
        <f ca="1">IFERROR(__xludf.DUMMYFUNCTION("""COMPUTED_VALUE"""),"ПК")</f>
        <v>ПК</v>
      </c>
      <c r="E151" s="19" t="str">
        <f ca="1">IFERROR(__xludf.DUMMYFUNCTION("""COMPUTED_VALUE"""),"копия")</f>
        <v>копия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customHeight="1">
      <c r="A152" s="30">
        <v>146</v>
      </c>
      <c r="B152" s="19" t="str">
        <f ca="1">IFERROR(__xludf.DUMMYFUNCTION("""COMPUTED_VALUE"""),"Литвиненко И. ")</f>
        <v xml:space="preserve">Литвиненко И. </v>
      </c>
      <c r="C152" s="19">
        <f ca="1">IFERROR(__xludf.DUMMYFUNCTION("""COMPUTED_VALUE"""),3.23)</f>
        <v>3.23</v>
      </c>
      <c r="D152" s="19" t="str">
        <f ca="1">IFERROR(__xludf.DUMMYFUNCTION("""COMPUTED_VALUE"""),"ПК")</f>
        <v>ПК</v>
      </c>
      <c r="E152" s="19" t="str">
        <f ca="1">IFERROR(__xludf.DUMMYFUNCTION("""COMPUTED_VALUE"""),"копия")</f>
        <v>копия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customHeight="1">
      <c r="A153" s="30">
        <v>147</v>
      </c>
      <c r="B153" s="19" t="str">
        <f ca="1">IFERROR(__xludf.DUMMYFUNCTION("""COMPUTED_VALUE"""),"Попова Д. ")</f>
        <v xml:space="preserve">Попова Д. </v>
      </c>
      <c r="C153" s="19">
        <f ca="1">IFERROR(__xludf.DUMMYFUNCTION("""COMPUTED_VALUE"""),3.22)</f>
        <v>3.22</v>
      </c>
      <c r="D153" s="19" t="str">
        <f ca="1">IFERROR(__xludf.DUMMYFUNCTION("""COMPUTED_VALUE"""),"ПК")</f>
        <v>ПК</v>
      </c>
      <c r="E153" s="19" t="str">
        <f ca="1">IFERROR(__xludf.DUMMYFUNCTION("""COMPUTED_VALUE"""),"копия")</f>
        <v>копия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customHeight="1">
      <c r="A154" s="30">
        <v>148</v>
      </c>
      <c r="B154" s="19" t="str">
        <f ca="1">IFERROR(__xludf.DUMMYFUNCTION("""COMPUTED_VALUE"""),"Торопов А.")</f>
        <v>Торопов А.</v>
      </c>
      <c r="C154" s="19">
        <f ca="1">IFERROR(__xludf.DUMMYFUNCTION("""COMPUTED_VALUE"""),3.22)</f>
        <v>3.22</v>
      </c>
      <c r="D154" s="19" t="str">
        <f ca="1">IFERROR(__xludf.DUMMYFUNCTION("""COMPUTED_VALUE"""),"ПК")</f>
        <v>ПК</v>
      </c>
      <c r="E154" s="19" t="str">
        <f ca="1">IFERROR(__xludf.DUMMYFUNCTION("""COMPUTED_VALUE"""),"оригинал ")</f>
        <v xml:space="preserve">оригинал 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customHeight="1">
      <c r="A155" s="30">
        <v>149</v>
      </c>
      <c r="B155" s="19" t="str">
        <f ca="1">IFERROR(__xludf.DUMMYFUNCTION("""COMPUTED_VALUE"""),"Леденцов С. ")</f>
        <v xml:space="preserve">Леденцов С. </v>
      </c>
      <c r="C155" s="19">
        <f ca="1">IFERROR(__xludf.DUMMYFUNCTION("""COMPUTED_VALUE"""),3.21)</f>
        <v>3.21</v>
      </c>
      <c r="D155" s="19" t="str">
        <f ca="1">IFERROR(__xludf.DUMMYFUNCTION("""COMPUTED_VALUE"""),"ПК")</f>
        <v>ПК</v>
      </c>
      <c r="E155" s="19" t="str">
        <f ca="1">IFERROR(__xludf.DUMMYFUNCTION("""COMPUTED_VALUE"""),"копия")</f>
        <v>копия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customHeight="1">
      <c r="A156" s="30">
        <v>150</v>
      </c>
      <c r="B156" s="19" t="str">
        <f ca="1">IFERROR(__xludf.DUMMYFUNCTION("""COMPUTED_VALUE"""),"Настасина К.А.")</f>
        <v>Настасина К.А.</v>
      </c>
      <c r="C156" s="19">
        <f ca="1">IFERROR(__xludf.DUMMYFUNCTION("""COMPUTED_VALUE"""),3.21)</f>
        <v>3.21</v>
      </c>
      <c r="D156" s="19" t="str">
        <f ca="1">IFERROR(__xludf.DUMMYFUNCTION("""COMPUTED_VALUE"""),"ПК")</f>
        <v>ПК</v>
      </c>
      <c r="E156" s="19" t="str">
        <f ca="1">IFERROR(__xludf.DUMMYFUNCTION("""COMPUTED_VALUE"""),"оригинал")</f>
        <v>оригинал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customHeight="1">
      <c r="A157" s="30">
        <v>151</v>
      </c>
      <c r="B157" s="19" t="str">
        <f ca="1">IFERROR(__xludf.DUMMYFUNCTION("""COMPUTED_VALUE"""),"Смудников М.")</f>
        <v>Смудников М.</v>
      </c>
      <c r="C157" s="19">
        <f ca="1">IFERROR(__xludf.DUMMYFUNCTION("""COMPUTED_VALUE"""),3.2)</f>
        <v>3.2</v>
      </c>
      <c r="D157" s="19" t="str">
        <f ca="1">IFERROR(__xludf.DUMMYFUNCTION("""COMPUTED_VALUE"""),"ПК")</f>
        <v>ПК</v>
      </c>
      <c r="E157" s="19" t="str">
        <f ca="1">IFERROR(__xludf.DUMMYFUNCTION("""COMPUTED_VALUE"""),"копия")</f>
        <v>копия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customHeight="1">
      <c r="A158" s="30">
        <v>152</v>
      </c>
      <c r="B158" s="19" t="str">
        <f ca="1">IFERROR(__xludf.DUMMYFUNCTION("""COMPUTED_VALUE"""),"Павлюшина Е.")</f>
        <v>Павлюшина Е.</v>
      </c>
      <c r="C158" s="19">
        <f ca="1">IFERROR(__xludf.DUMMYFUNCTION("""COMPUTED_VALUE"""),3.19)</f>
        <v>3.19</v>
      </c>
      <c r="D158" s="19" t="str">
        <f ca="1">IFERROR(__xludf.DUMMYFUNCTION("""COMPUTED_VALUE"""),"ПК")</f>
        <v>ПК</v>
      </c>
      <c r="E158" s="19" t="str">
        <f ca="1">IFERROR(__xludf.DUMMYFUNCTION("""COMPUTED_VALUE"""),"копия")</f>
        <v>копия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customHeight="1">
      <c r="A159" s="30">
        <v>153</v>
      </c>
      <c r="B159" s="19" t="str">
        <f ca="1">IFERROR(__xludf.DUMMYFUNCTION("""COMPUTED_VALUE"""),"Булышев З")</f>
        <v>Булышев З</v>
      </c>
      <c r="C159" s="19">
        <f ca="1">IFERROR(__xludf.DUMMYFUNCTION("""COMPUTED_VALUE"""),3.17)</f>
        <v>3.17</v>
      </c>
      <c r="D159" s="19" t="str">
        <f ca="1">IFERROR(__xludf.DUMMYFUNCTION("""COMPUTED_VALUE"""),"ПК")</f>
        <v>ПК</v>
      </c>
      <c r="E159" s="19" t="str">
        <f ca="1">IFERROR(__xludf.DUMMYFUNCTION("""COMPUTED_VALUE"""),"копия")</f>
        <v>копия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customHeight="1">
      <c r="A160" s="30">
        <v>154</v>
      </c>
      <c r="B160" s="19" t="str">
        <f ca="1">IFERROR(__xludf.DUMMYFUNCTION("""COMPUTED_VALUE"""),"Фатеев А.")</f>
        <v>Фатеев А.</v>
      </c>
      <c r="C160" s="33">
        <f ca="1">IFERROR(__xludf.DUMMYFUNCTION("""COMPUTED_VALUE"""),3.16)</f>
        <v>3.16</v>
      </c>
      <c r="D160" s="19" t="str">
        <f ca="1">IFERROR(__xludf.DUMMYFUNCTION("""COMPUTED_VALUE"""),"ПК")</f>
        <v>ПК</v>
      </c>
      <c r="E160" s="19" t="str">
        <f ca="1">IFERROR(__xludf.DUMMYFUNCTION("""COMPUTED_VALUE"""),"копия")</f>
        <v>копия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customHeight="1">
      <c r="A161" s="30">
        <v>155</v>
      </c>
      <c r="B161" s="19" t="str">
        <f ca="1">IFERROR(__xludf.DUMMYFUNCTION("""COMPUTED_VALUE"""),"Васькина Ю.")</f>
        <v>Васькина Ю.</v>
      </c>
      <c r="C161" s="33">
        <f ca="1">IFERROR(__xludf.DUMMYFUNCTION("""COMPUTED_VALUE"""),3.16)</f>
        <v>3.16</v>
      </c>
      <c r="D161" s="19" t="str">
        <f ca="1">IFERROR(__xludf.DUMMYFUNCTION("""COMPUTED_VALUE"""),"ПК")</f>
        <v>ПК</v>
      </c>
      <c r="E161" s="19" t="str">
        <f ca="1">IFERROR(__xludf.DUMMYFUNCTION("""COMPUTED_VALUE"""),"копия")</f>
        <v>копия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customHeight="1">
      <c r="A162" s="30">
        <v>156</v>
      </c>
      <c r="B162" s="19" t="str">
        <f ca="1">IFERROR(__xludf.DUMMYFUNCTION("""COMPUTED_VALUE"""),"Игнатов В.")</f>
        <v>Игнатов В.</v>
      </c>
      <c r="C162" s="19">
        <f ca="1">IFERROR(__xludf.DUMMYFUNCTION("""COMPUTED_VALUE"""),3.16)</f>
        <v>3.16</v>
      </c>
      <c r="D162" s="19" t="str">
        <f ca="1">IFERROR(__xludf.DUMMYFUNCTION("""COMPUTED_VALUE"""),"ПК")</f>
        <v>ПК</v>
      </c>
      <c r="E162" s="19" t="str">
        <f ca="1">IFERROR(__xludf.DUMMYFUNCTION("""COMPUTED_VALUE"""),"копия")</f>
        <v>копия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customHeight="1">
      <c r="A163" s="30">
        <v>157</v>
      </c>
      <c r="B163" s="19" t="str">
        <f ca="1">IFERROR(__xludf.DUMMYFUNCTION("""COMPUTED_VALUE"""),"Кустышев Р.")</f>
        <v>Кустышев Р.</v>
      </c>
      <c r="C163" s="19">
        <f ca="1">IFERROR(__xludf.DUMMYFUNCTION("""COMPUTED_VALUE"""),3.16)</f>
        <v>3.16</v>
      </c>
      <c r="D163" s="19" t="str">
        <f ca="1">IFERROR(__xludf.DUMMYFUNCTION("""COMPUTED_VALUE"""),"ПК")</f>
        <v>ПК</v>
      </c>
      <c r="E163" s="19" t="str">
        <f ca="1">IFERROR(__xludf.DUMMYFUNCTION("""COMPUTED_VALUE"""),"копия")</f>
        <v>копия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customHeight="1">
      <c r="A164" s="30">
        <v>158</v>
      </c>
      <c r="B164" s="19" t="str">
        <f ca="1">IFERROR(__xludf.DUMMYFUNCTION("""COMPUTED_VALUE"""),"Шудрич Д. ")</f>
        <v xml:space="preserve">Шудрич Д. </v>
      </c>
      <c r="C164" s="19">
        <f ca="1">IFERROR(__xludf.DUMMYFUNCTION("""COMPUTED_VALUE"""),3.15)</f>
        <v>3.15</v>
      </c>
      <c r="D164" s="19" t="str">
        <f ca="1">IFERROR(__xludf.DUMMYFUNCTION("""COMPUTED_VALUE"""),"ПК")</f>
        <v>ПК</v>
      </c>
      <c r="E164" s="19" t="str">
        <f ca="1">IFERROR(__xludf.DUMMYFUNCTION("""COMPUTED_VALUE"""),"копия")</f>
        <v>копия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customHeight="1">
      <c r="A165" s="30">
        <v>159</v>
      </c>
      <c r="B165" s="19" t="str">
        <f ca="1">IFERROR(__xludf.DUMMYFUNCTION("""COMPUTED_VALUE"""),"Каштаев В.")</f>
        <v>Каштаев В.</v>
      </c>
      <c r="C165" s="19">
        <f ca="1">IFERROR(__xludf.DUMMYFUNCTION("""COMPUTED_VALUE"""),3.11)</f>
        <v>3.11</v>
      </c>
      <c r="D165" s="19" t="str">
        <f ca="1">IFERROR(__xludf.DUMMYFUNCTION("""COMPUTED_VALUE"""),"ПК")</f>
        <v>ПК</v>
      </c>
      <c r="E165" s="19" t="str">
        <f ca="1">IFERROR(__xludf.DUMMYFUNCTION("""COMPUTED_VALUE"""),"копия")</f>
        <v>копия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customHeight="1">
      <c r="A166" s="30">
        <v>160</v>
      </c>
      <c r="B166" s="19" t="str">
        <f ca="1">IFERROR(__xludf.DUMMYFUNCTION("""COMPUTED_VALUE"""),"Никандрова П.")</f>
        <v>Никандрова П.</v>
      </c>
      <c r="C166" s="19">
        <f ca="1">IFERROR(__xludf.DUMMYFUNCTION("""COMPUTED_VALUE"""),3.11)</f>
        <v>3.11</v>
      </c>
      <c r="D166" s="19" t="str">
        <f ca="1">IFERROR(__xludf.DUMMYFUNCTION("""COMPUTED_VALUE"""),"ПК")</f>
        <v>ПК</v>
      </c>
      <c r="E166" s="19" t="str">
        <f ca="1">IFERROR(__xludf.DUMMYFUNCTION("""COMPUTED_VALUE"""),"копия")</f>
        <v>копия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customHeight="1">
      <c r="A167" s="30">
        <v>161</v>
      </c>
      <c r="B167" s="19" t="str">
        <f ca="1">IFERROR(__xludf.DUMMYFUNCTION("""COMPUTED_VALUE"""),"Даденко Д.")</f>
        <v>Даденко Д.</v>
      </c>
      <c r="C167" s="33">
        <f ca="1">IFERROR(__xludf.DUMMYFUNCTION("""COMPUTED_VALUE"""),3.06)</f>
        <v>3.06</v>
      </c>
      <c r="D167" s="19" t="str">
        <f ca="1">IFERROR(__xludf.DUMMYFUNCTION("""COMPUTED_VALUE"""),"ПК")</f>
        <v>ПК</v>
      </c>
      <c r="E167" s="19" t="str">
        <f ca="1">IFERROR(__xludf.DUMMYFUNCTION("""COMPUTED_VALUE"""),"копия")</f>
        <v>копия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customHeight="1">
      <c r="A168" s="30">
        <v>162</v>
      </c>
      <c r="B168" s="19" t="str">
        <f ca="1">IFERROR(__xludf.DUMMYFUNCTION("""COMPUTED_VALUE"""),"Баскова Е")</f>
        <v>Баскова Е</v>
      </c>
      <c r="C168" s="19">
        <f ca="1">IFERROR(__xludf.DUMMYFUNCTION("""COMPUTED_VALUE"""),3.05)</f>
        <v>3.05</v>
      </c>
      <c r="D168" s="19" t="str">
        <f ca="1">IFERROR(__xludf.DUMMYFUNCTION("""COMPUTED_VALUE"""),"ПК")</f>
        <v>ПК</v>
      </c>
      <c r="E168" s="19" t="str">
        <f ca="1">IFERROR(__xludf.DUMMYFUNCTION("""COMPUTED_VALUE"""),"копия")</f>
        <v>копия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customHeight="1">
      <c r="A169" s="30">
        <v>163</v>
      </c>
      <c r="B169" s="19" t="str">
        <f ca="1">IFERROR(__xludf.DUMMYFUNCTION("""COMPUTED_VALUE"""),"Лузанова Е.")</f>
        <v>Лузанова Е.</v>
      </c>
      <c r="C169" s="19">
        <f ca="1">IFERROR(__xludf.DUMMYFUNCTION("""COMPUTED_VALUE"""),3.05)</f>
        <v>3.05</v>
      </c>
      <c r="D169" s="19" t="str">
        <f ca="1">IFERROR(__xludf.DUMMYFUNCTION("""COMPUTED_VALUE"""),"ПК")</f>
        <v>ПК</v>
      </c>
      <c r="E169" s="19" t="str">
        <f ca="1">IFERROR(__xludf.DUMMYFUNCTION("""COMPUTED_VALUE"""),"копия")</f>
        <v>копия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customHeight="1">
      <c r="A170" s="30">
        <v>164</v>
      </c>
      <c r="B170" s="19" t="str">
        <f ca="1">IFERROR(__xludf.DUMMYFUNCTION("""COMPUTED_VALUE"""),"Гераскин К.")</f>
        <v>Гераскин К.</v>
      </c>
      <c r="C170" s="33">
        <f ca="1">IFERROR(__xludf.DUMMYFUNCTION("""COMPUTED_VALUE"""),3)</f>
        <v>3</v>
      </c>
      <c r="D170" s="19" t="str">
        <f ca="1">IFERROR(__xludf.DUMMYFUNCTION("""COMPUTED_VALUE"""),"ПК")</f>
        <v>ПК</v>
      </c>
      <c r="E170" s="19" t="str">
        <f ca="1">IFERROR(__xludf.DUMMYFUNCTION("""COMPUTED_VALUE"""),"копия")</f>
        <v>копия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customHeight="1">
      <c r="A171" s="30">
        <v>165</v>
      </c>
      <c r="B171" s="19" t="str">
        <f ca="1">IFERROR(__xludf.DUMMYFUNCTION("""COMPUTED_VALUE"""),"Бережная А.")</f>
        <v>Бережная А.</v>
      </c>
      <c r="C171" s="19">
        <f ca="1">IFERROR(__xludf.DUMMYFUNCTION("""COMPUTED_VALUE"""),0)</f>
        <v>0</v>
      </c>
      <c r="D171" s="19" t="str">
        <f ca="1">IFERROR(__xludf.DUMMYFUNCTION("""COMPUTED_VALUE"""),"ПК")</f>
        <v>ПК</v>
      </c>
      <c r="E171" s="19" t="str">
        <f ca="1">IFERROR(__xludf.DUMMYFUNCTION("""COMPUTED_VALUE"""),"копия")</f>
        <v>копия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3.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3.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3.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3.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3.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3.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spans="1:26" ht="13.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spans="1:26" ht="13.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  <row r="1003" spans="1:26" ht="13.5" customHeight="1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</row>
    <row r="1004" spans="1:26" ht="13.5" customHeight="1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</row>
  </sheetData>
  <mergeCells count="6">
    <mergeCell ref="A5:C5"/>
    <mergeCell ref="A1:E1"/>
    <mergeCell ref="A2:B2"/>
    <mergeCell ref="C2:E2"/>
    <mergeCell ref="A3:E3"/>
    <mergeCell ref="A4:E4"/>
  </mergeCells>
  <pageMargins left="0.7" right="0.7" top="0.75" bottom="0.75" header="0" footer="0"/>
  <pageSetup paperSize="9" scale="76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Inbox_Data</vt:lpstr>
      <vt:lpstr>ВЕТ</vt:lpstr>
      <vt:lpstr>Шаблон</vt:lpstr>
      <vt:lpstr>СП</vt:lpstr>
      <vt:lpstr>ЭКС</vt:lpstr>
      <vt:lpstr>МСХП</vt:lpstr>
      <vt:lpstr>МА</vt:lpstr>
      <vt:lpstr>МСР</vt:lpstr>
      <vt:lpstr>ПК</vt:lpstr>
      <vt:lpstr>ВЕТЛАБ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Контур</dc:creator>
  <cp:lastModifiedBy>Техник ОВТ</cp:lastModifiedBy>
  <cp:lastPrinted>2026-08-27T12:37:52Z</cp:lastPrinted>
  <dcterms:created xsi:type="dcterms:W3CDTF">2026-08-27T12:21:45Z</dcterms:created>
  <dcterms:modified xsi:type="dcterms:W3CDTF">2026-08-27T12:45:58Z</dcterms:modified>
</cp:coreProperties>
</file>